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580" activeTab="1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op'!$A$1:$P$72</definedName>
    <definedName name="_xlnm._FilterDatabase" localSheetId="10" hidden="1">'C. GRAL CONSTRUC.'!$B$1:$K$43</definedName>
    <definedName name="_xlnm._FilterDatabase" localSheetId="7" hidden="1">'COORDINACION SERVICIOS PUBLICOS'!$B$4:$N$68</definedName>
    <definedName name="_xlnm._FilterDatabase" localSheetId="13" hidden="1">jubilados!$L$4:$N$48</definedName>
    <definedName name="_xlnm._FilterDatabase" localSheetId="12" hidden="1">SEG.CIUDADANA.!$B$1:$O$57</definedName>
    <definedName name="_xlnm.Print_Area" localSheetId="8">'C. D ECONOMICO'!$B$1:$N$25</definedName>
    <definedName name="_xlnm.Print_Area" localSheetId="9">'C. GESTION INTEGRAL op'!$B$1:$M$44</definedName>
    <definedName name="_xlnm.Print_Area" localSheetId="10">'C. GRAL CONSTRUC.'!$B$1:$N$41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PUBLICOS'!$B$1:$N$71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jubilados!$B$1:$K$44</definedName>
    <definedName name="_xlnm.Print_Area" localSheetId="1">PRESIDENCIA!$B$1:$N$19</definedName>
    <definedName name="_xlnm.Print_Area" localSheetId="3">'SECRETARIA GENERAL'!$B$1:$N$26</definedName>
    <definedName name="_xlnm.Print_Area" localSheetId="12">SEG.CIUDADANA.!$B$1:$N$55</definedName>
    <definedName name="_xlnm.Print_Area" localSheetId="4">SINDICATURA!$B$1:$N$16</definedName>
    <definedName name="_xlnm.Print_Area" localSheetId="11">'UNIDAD DE GESTION DE PROYECTOS'!$B$1:$N$19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J18" i="10" l="1"/>
  <c r="I18" i="10"/>
  <c r="H18" i="10"/>
  <c r="K17" i="9"/>
  <c r="J17" i="9"/>
  <c r="I17" i="9"/>
  <c r="H17" i="9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K18" i="9"/>
  <c r="J18" i="9"/>
  <c r="I18" i="9"/>
  <c r="H18" i="9"/>
  <c r="M17" i="9" l="1"/>
  <c r="K18" i="10"/>
  <c r="M18" i="10" s="1"/>
  <c r="M18" i="9"/>
  <c r="N39" i="20" l="1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I5" i="28"/>
  <c r="H5" i="28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J12" i="21" l="1"/>
  <c r="L12" i="21" s="1"/>
  <c r="K19" i="10" l="1"/>
  <c r="M19" i="10" s="1"/>
  <c r="J8" i="21"/>
  <c r="L8" i="21" s="1"/>
  <c r="O8" i="7" l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7" i="7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J12" i="7"/>
  <c r="L12" i="7"/>
  <c r="K30" i="10"/>
  <c r="K46" i="28"/>
  <c r="J23" i="22"/>
  <c r="K17" i="34"/>
  <c r="L25" i="34"/>
  <c r="M17" i="34" l="1"/>
  <c r="K69" i="28"/>
  <c r="M69" i="28" s="1"/>
  <c r="K44" i="10"/>
  <c r="M44" i="10" s="1"/>
  <c r="M30" i="10"/>
  <c r="K24" i="10"/>
  <c r="M24" i="10" s="1"/>
  <c r="M46" i="28"/>
  <c r="K23" i="22"/>
  <c r="M23" i="22" s="1"/>
  <c r="I13" i="25" l="1"/>
  <c r="H13" i="25"/>
  <c r="J14" i="7" l="1"/>
  <c r="L14" i="7" s="1"/>
  <c r="K53" i="28" l="1"/>
  <c r="M53" i="28" s="1"/>
  <c r="J31" i="7" l="1"/>
  <c r="L31" i="7" s="1"/>
  <c r="K45" i="10"/>
  <c r="K38" i="9" l="1"/>
  <c r="M38" i="9" s="1"/>
  <c r="M45" i="10"/>
  <c r="J15" i="7"/>
  <c r="L15" i="7" s="1"/>
  <c r="M33" i="10"/>
  <c r="K7" i="1" l="1"/>
  <c r="K50" i="28"/>
  <c r="K64" i="28" l="1"/>
  <c r="K10" i="34"/>
  <c r="M10" i="34" s="1"/>
  <c r="M50" i="28"/>
  <c r="M64" i="28" l="1"/>
  <c r="F29" i="20"/>
  <c r="J29" i="20" s="1"/>
  <c r="K57" i="28" l="1"/>
  <c r="M57" i="28" s="1"/>
  <c r="J14" i="22"/>
  <c r="J7" i="22" l="1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4" i="22"/>
  <c r="J25" i="22"/>
  <c r="F12" i="20" l="1"/>
  <c r="J12" i="20" s="1"/>
  <c r="N12" i="20" s="1"/>
  <c r="K43" i="28"/>
  <c r="K65" i="28"/>
  <c r="M43" i="28" l="1"/>
  <c r="M65" i="28"/>
  <c r="K34" i="10" l="1"/>
  <c r="M34" i="10" s="1"/>
  <c r="F39" i="20" l="1"/>
  <c r="K22" i="28"/>
  <c r="M22" i="28" l="1"/>
  <c r="L36" i="9" l="1"/>
  <c r="K14" i="37"/>
  <c r="M14" i="37" s="1"/>
  <c r="K17" i="10"/>
  <c r="F31" i="20"/>
  <c r="J31" i="20" s="1"/>
  <c r="N31" i="20" s="1"/>
  <c r="F20" i="20"/>
  <c r="J20" i="20" s="1"/>
  <c r="N20" i="20" s="1"/>
  <c r="K13" i="22" l="1"/>
  <c r="K39" i="28"/>
  <c r="M13" i="22" l="1"/>
  <c r="K28" i="28"/>
  <c r="M28" i="28" s="1"/>
  <c r="M39" i="28"/>
  <c r="H7" i="8" l="1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18" i="1"/>
  <c r="J9" i="7" l="1"/>
  <c r="L9" i="7" s="1"/>
  <c r="K22" i="22"/>
  <c r="M22" i="22" s="1"/>
  <c r="K15" i="1"/>
  <c r="K11" i="1"/>
  <c r="K12" i="1"/>
  <c r="K18" i="28"/>
  <c r="M18" i="28" s="1"/>
  <c r="K52" i="28"/>
  <c r="K12" i="34"/>
  <c r="M12" i="34" s="1"/>
  <c r="M12" i="1" l="1"/>
  <c r="M11" i="1"/>
  <c r="M15" i="1"/>
  <c r="K26" i="28"/>
  <c r="M26" i="28" s="1"/>
  <c r="K29" i="28"/>
  <c r="M29" i="28" s="1"/>
  <c r="M52" i="28"/>
  <c r="K13" i="10" l="1"/>
  <c r="M13" i="10" s="1"/>
  <c r="J21" i="7" l="1"/>
  <c r="K11" i="37"/>
  <c r="L41" i="9"/>
  <c r="K40" i="9"/>
  <c r="K39" i="9"/>
  <c r="K34" i="9"/>
  <c r="L21" i="7" l="1"/>
  <c r="M11" i="37"/>
  <c r="M39" i="9"/>
  <c r="M40" i="9"/>
  <c r="K33" i="9"/>
  <c r="M33" i="9" s="1"/>
  <c r="M34" i="9"/>
  <c r="K27" i="28" l="1"/>
  <c r="J22" i="7" l="1"/>
  <c r="L22" i="7" l="1"/>
  <c r="K41" i="10"/>
  <c r="M41" i="10" l="1"/>
  <c r="K42" i="10"/>
  <c r="M42" i="10" s="1"/>
  <c r="K35" i="10" l="1"/>
  <c r="K32" i="9"/>
  <c r="K13" i="9"/>
  <c r="K32" i="10"/>
  <c r="K53" i="10"/>
  <c r="M32" i="9" l="1"/>
  <c r="M35" i="10"/>
  <c r="K15" i="9"/>
  <c r="M15" i="9" s="1"/>
  <c r="J42" i="7"/>
  <c r="L42" i="7" s="1"/>
  <c r="M13" i="9"/>
  <c r="M53" i="10"/>
  <c r="M32" i="10"/>
  <c r="F17" i="33"/>
  <c r="L71" i="28" l="1"/>
  <c r="F16" i="33" s="1"/>
  <c r="K70" i="28"/>
  <c r="K63" i="28"/>
  <c r="K56" i="28"/>
  <c r="K37" i="28"/>
  <c r="J7" i="10"/>
  <c r="M14" i="8"/>
  <c r="L10" i="21"/>
  <c r="L19" i="37"/>
  <c r="F20" i="33" s="1"/>
  <c r="F19" i="33"/>
  <c r="K44" i="7"/>
  <c r="F18" i="33" s="1"/>
  <c r="L43" i="7"/>
  <c r="L21" i="8"/>
  <c r="F15" i="33" s="1"/>
  <c r="L12" i="24"/>
  <c r="F14" i="33" s="1"/>
  <c r="K12" i="24"/>
  <c r="L16" i="25"/>
  <c r="F13" i="33" s="1"/>
  <c r="L26" i="22"/>
  <c r="F12" i="33" s="1"/>
  <c r="K9" i="36"/>
  <c r="F11" i="33" s="1"/>
  <c r="L19" i="1"/>
  <c r="F10" i="33" s="1"/>
  <c r="K17" i="21"/>
  <c r="F9" i="33" s="1"/>
  <c r="M20" i="22" l="1"/>
  <c r="M21" i="22"/>
  <c r="M13" i="1"/>
  <c r="M18" i="1"/>
  <c r="M17" i="1"/>
  <c r="M16" i="1"/>
  <c r="M8" i="37"/>
  <c r="M15" i="37"/>
  <c r="M12" i="37"/>
  <c r="F21" i="33"/>
  <c r="F27" i="33" s="1"/>
  <c r="L55" i="10"/>
  <c r="F23" i="33" s="1"/>
  <c r="F24" i="33" s="1"/>
  <c r="M21" i="9"/>
  <c r="M10" i="37"/>
  <c r="M8" i="10"/>
  <c r="M70" i="28"/>
  <c r="M24" i="34"/>
  <c r="M27" i="28"/>
  <c r="M8" i="34"/>
  <c r="K62" i="28"/>
  <c r="M62" i="28" s="1"/>
  <c r="M63" i="28"/>
  <c r="M56" i="28"/>
  <c r="M10" i="28"/>
  <c r="M48" i="28"/>
  <c r="M37" i="28"/>
  <c r="M68" i="28"/>
  <c r="M20" i="28"/>
  <c r="K19" i="9"/>
  <c r="M19" i="9" s="1"/>
  <c r="K16" i="10"/>
  <c r="M16" i="10" s="1"/>
  <c r="K28" i="9"/>
  <c r="M28" i="9" s="1"/>
  <c r="F30" i="33" l="1"/>
  <c r="G34" i="33" s="1"/>
  <c r="K9" i="37"/>
  <c r="M9" i="37" s="1"/>
  <c r="K12" i="8"/>
  <c r="M12" i="8" s="1"/>
  <c r="K51" i="28" l="1"/>
  <c r="M51" i="28" s="1"/>
  <c r="K16" i="34"/>
  <c r="M16" i="34" s="1"/>
  <c r="K19" i="34"/>
  <c r="M19" i="34" s="1"/>
  <c r="K14" i="34"/>
  <c r="M14" i="34" s="1"/>
  <c r="K13" i="34"/>
  <c r="M13" i="34" s="1"/>
  <c r="K23" i="34" l="1"/>
  <c r="M23" i="34" s="1"/>
  <c r="H7" i="7" l="1"/>
  <c r="K22" i="34" l="1"/>
  <c r="M22" i="34" s="1"/>
  <c r="J30" i="7"/>
  <c r="L30" i="7" s="1"/>
  <c r="K13" i="25" l="1"/>
  <c r="M13" i="25" s="1"/>
  <c r="K21" i="10" l="1"/>
  <c r="M21" i="10" s="1"/>
  <c r="K61" i="28"/>
  <c r="M61" i="28" s="1"/>
  <c r="K10" i="22" l="1"/>
  <c r="M10" i="22" s="1"/>
  <c r="K10" i="1"/>
  <c r="M10" i="1" s="1"/>
  <c r="K12" i="9" l="1"/>
  <c r="M12" i="9" s="1"/>
  <c r="K54" i="10" l="1"/>
  <c r="M54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8" i="37"/>
  <c r="M18" i="37" s="1"/>
  <c r="K17" i="37"/>
  <c r="M17" i="37" s="1"/>
  <c r="K16" i="37"/>
  <c r="M16" i="37" s="1"/>
  <c r="K13" i="37"/>
  <c r="M13" i="37" s="1"/>
  <c r="J7" i="37"/>
  <c r="K37" i="9"/>
  <c r="M37" i="9" s="1"/>
  <c r="K36" i="9"/>
  <c r="M36" i="9" s="1"/>
  <c r="K35" i="9"/>
  <c r="M35" i="9" s="1"/>
  <c r="K31" i="9"/>
  <c r="M31" i="9" s="1"/>
  <c r="K30" i="9"/>
  <c r="M30" i="9" s="1"/>
  <c r="K29" i="9"/>
  <c r="M29" i="9" s="1"/>
  <c r="K27" i="9"/>
  <c r="M27" i="9" s="1"/>
  <c r="K26" i="9"/>
  <c r="M26" i="9" s="1"/>
  <c r="K25" i="9"/>
  <c r="M25" i="9" s="1"/>
  <c r="K24" i="9"/>
  <c r="M24" i="9" s="1"/>
  <c r="K23" i="9"/>
  <c r="M23" i="9" s="1"/>
  <c r="K22" i="9"/>
  <c r="M22" i="9" s="1"/>
  <c r="K20" i="9"/>
  <c r="M20" i="9" s="1"/>
  <c r="K16" i="9"/>
  <c r="M16" i="9" s="1"/>
  <c r="K14" i="9"/>
  <c r="M14" i="9" s="1"/>
  <c r="K11" i="9"/>
  <c r="K10" i="9"/>
  <c r="M10" i="9" s="1"/>
  <c r="K9" i="9"/>
  <c r="M9" i="9" s="1"/>
  <c r="K8" i="9"/>
  <c r="M8" i="9" s="1"/>
  <c r="K67" i="28"/>
  <c r="M67" i="28" s="1"/>
  <c r="K66" i="28"/>
  <c r="M66" i="28" s="1"/>
  <c r="K60" i="28"/>
  <c r="M60" i="28" s="1"/>
  <c r="K59" i="28"/>
  <c r="M59" i="28" s="1"/>
  <c r="K58" i="28"/>
  <c r="M58" i="28" s="1"/>
  <c r="K55" i="28"/>
  <c r="M55" i="28" s="1"/>
  <c r="K54" i="28"/>
  <c r="M54" i="28" s="1"/>
  <c r="K49" i="28"/>
  <c r="M49" i="28" s="1"/>
  <c r="K47" i="28"/>
  <c r="M47" i="28" s="1"/>
  <c r="K45" i="28"/>
  <c r="M45" i="28" s="1"/>
  <c r="K44" i="28"/>
  <c r="M44" i="28" s="1"/>
  <c r="K42" i="28"/>
  <c r="M42" i="28" s="1"/>
  <c r="K41" i="28"/>
  <c r="M41" i="28" s="1"/>
  <c r="K40" i="28"/>
  <c r="M40" i="28" s="1"/>
  <c r="K38" i="28"/>
  <c r="M38" i="28" s="1"/>
  <c r="K36" i="28"/>
  <c r="M36" i="28" s="1"/>
  <c r="K35" i="28"/>
  <c r="M35" i="28" s="1"/>
  <c r="K34" i="28"/>
  <c r="M34" i="28" s="1"/>
  <c r="K33" i="28"/>
  <c r="M33" i="28" s="1"/>
  <c r="K32" i="28"/>
  <c r="M32" i="28" s="1"/>
  <c r="K31" i="28"/>
  <c r="M31" i="28" s="1"/>
  <c r="K30" i="28"/>
  <c r="M30" i="28" s="1"/>
  <c r="K25" i="28"/>
  <c r="M25" i="28" s="1"/>
  <c r="K24" i="28"/>
  <c r="M24" i="28" s="1"/>
  <c r="K23" i="28"/>
  <c r="M23" i="28" s="1"/>
  <c r="K21" i="28"/>
  <c r="M21" i="28" s="1"/>
  <c r="K19" i="28"/>
  <c r="M19" i="28" s="1"/>
  <c r="K17" i="28"/>
  <c r="M17" i="28" s="1"/>
  <c r="K16" i="28"/>
  <c r="M16" i="28" s="1"/>
  <c r="K15" i="28"/>
  <c r="M15" i="28" s="1"/>
  <c r="K14" i="28"/>
  <c r="M14" i="28" s="1"/>
  <c r="K13" i="28"/>
  <c r="M13" i="28" s="1"/>
  <c r="K12" i="28"/>
  <c r="M12" i="28" s="1"/>
  <c r="K11" i="28"/>
  <c r="M11" i="28" s="1"/>
  <c r="K9" i="28"/>
  <c r="M9" i="28" s="1"/>
  <c r="K8" i="28"/>
  <c r="M8" i="28" s="1"/>
  <c r="K7" i="28"/>
  <c r="M7" i="28" s="1"/>
  <c r="K6" i="28"/>
  <c r="M6" i="28" s="1"/>
  <c r="M11" i="9" l="1"/>
  <c r="J39" i="7"/>
  <c r="L39" i="7" s="1"/>
  <c r="K16" i="8" l="1"/>
  <c r="M16" i="8" s="1"/>
  <c r="H7" i="36" l="1"/>
  <c r="G7" i="36"/>
  <c r="K15" i="34" l="1"/>
  <c r="M15" i="34" s="1"/>
  <c r="J37" i="7" l="1"/>
  <c r="L37" i="7" s="1"/>
  <c r="J16" i="7" l="1"/>
  <c r="L16" i="7" s="1"/>
  <c r="J36" i="7" l="1"/>
  <c r="L36" i="7" s="1"/>
  <c r="K24" i="22" l="1"/>
  <c r="M24" i="22" s="1"/>
  <c r="K17" i="22" l="1"/>
  <c r="M17" i="22" s="1"/>
  <c r="J17" i="7" l="1"/>
  <c r="L17" i="7" s="1"/>
  <c r="K19" i="22"/>
  <c r="M19" i="22" s="1"/>
  <c r="J29" i="7" l="1"/>
  <c r="L29" i="7" s="1"/>
  <c r="J24" i="7"/>
  <c r="L24" i="7" s="1"/>
  <c r="K25" i="22"/>
  <c r="M25" i="22" s="1"/>
  <c r="K8" i="22" l="1"/>
  <c r="K9" i="22"/>
  <c r="M9" i="22" s="1"/>
  <c r="M8" i="22" l="1"/>
  <c r="K11" i="34" l="1"/>
  <c r="M11" i="34" l="1"/>
  <c r="J25" i="7" l="1"/>
  <c r="L25" i="7" s="1"/>
  <c r="K20" i="8" l="1"/>
  <c r="M20" i="8" s="1"/>
  <c r="F11" i="20" l="1"/>
  <c r="M11" i="20" s="1"/>
  <c r="J11" i="20" l="1"/>
  <c r="N11" i="20" s="1"/>
  <c r="J8" i="7" l="1"/>
  <c r="L8" i="7" s="1"/>
  <c r="J10" i="7"/>
  <c r="L10" i="7" s="1"/>
  <c r="J11" i="7"/>
  <c r="L11" i="7" s="1"/>
  <c r="J13" i="7"/>
  <c r="L13" i="7" s="1"/>
  <c r="J18" i="7"/>
  <c r="L18" i="7" s="1"/>
  <c r="J19" i="7"/>
  <c r="L19" i="7" s="1"/>
  <c r="J20" i="7"/>
  <c r="L20" i="7" s="1"/>
  <c r="J23" i="7"/>
  <c r="L23" i="7" s="1"/>
  <c r="J26" i="7"/>
  <c r="L26" i="7" s="1"/>
  <c r="J27" i="7"/>
  <c r="L27" i="7" s="1"/>
  <c r="J28" i="7"/>
  <c r="L28" i="7" s="1"/>
  <c r="J32" i="7"/>
  <c r="L32" i="7" s="1"/>
  <c r="J33" i="7"/>
  <c r="L33" i="7" s="1"/>
  <c r="J34" i="7"/>
  <c r="L34" i="7" s="1"/>
  <c r="J35" i="7"/>
  <c r="L35" i="7" s="1"/>
  <c r="J38" i="7"/>
  <c r="L38" i="7" s="1"/>
  <c r="J40" i="7"/>
  <c r="L40" i="7" s="1"/>
  <c r="J41" i="7"/>
  <c r="L41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M9" i="24" s="1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8" i="1"/>
  <c r="M8" i="1" s="1"/>
  <c r="K9" i="1"/>
  <c r="M9" i="1" s="1"/>
  <c r="K14" i="1"/>
  <c r="M14" i="1" s="1"/>
  <c r="J11" i="21"/>
  <c r="L11" i="21" s="1"/>
  <c r="J13" i="21"/>
  <c r="L13" i="21" s="1"/>
  <c r="J14" i="21"/>
  <c r="L14" i="21" s="1"/>
  <c r="J15" i="21"/>
  <c r="L15" i="21" s="1"/>
  <c r="M8" i="24" l="1"/>
  <c r="J9" i="21"/>
  <c r="L9" i="21"/>
  <c r="K21" i="34"/>
  <c r="M21" i="34" s="1"/>
  <c r="K20" i="34"/>
  <c r="M20" i="34" s="1"/>
  <c r="K18" i="34"/>
  <c r="M18" i="34" s="1"/>
  <c r="K9" i="34"/>
  <c r="M9" i="34" s="1"/>
  <c r="F36" i="20" l="1"/>
  <c r="F9" i="20"/>
  <c r="M9" i="20" s="1"/>
  <c r="F40" i="20"/>
  <c r="M40" i="20" s="1"/>
  <c r="F41" i="20"/>
  <c r="J41" i="20" s="1"/>
  <c r="N41" i="20" s="1"/>
  <c r="J40" i="20" l="1"/>
  <c r="N40" i="20" s="1"/>
  <c r="J9" i="20"/>
  <c r="N9" i="20" s="1"/>
  <c r="J36" i="20"/>
  <c r="N36" i="20" s="1"/>
  <c r="M36" i="20"/>
  <c r="G44" i="20" l="1"/>
  <c r="H44" i="20"/>
  <c r="F5" i="20" l="1"/>
  <c r="J5" i="20" s="1"/>
  <c r="N5" i="20" s="1"/>
  <c r="G55" i="10" l="1"/>
  <c r="F55" i="10"/>
  <c r="E55" i="10"/>
  <c r="J55" i="10"/>
  <c r="E41" i="9"/>
  <c r="F41" i="9"/>
  <c r="G41" i="9"/>
  <c r="F25" i="34" l="1"/>
  <c r="G25" i="34"/>
  <c r="E25" i="34"/>
  <c r="F71" i="28"/>
  <c r="G71" i="28"/>
  <c r="E71" i="28"/>
  <c r="J7" i="36"/>
  <c r="L7" i="36" s="1"/>
  <c r="F19" i="1"/>
  <c r="G19" i="1"/>
  <c r="J19" i="1"/>
  <c r="E19" i="1"/>
  <c r="I7" i="10" l="1"/>
  <c r="H7" i="10"/>
  <c r="H7" i="9"/>
  <c r="H41" i="9" s="1"/>
  <c r="I7" i="9"/>
  <c r="I41" i="9" s="1"/>
  <c r="J7" i="9"/>
  <c r="J41" i="9" s="1"/>
  <c r="G7" i="7"/>
  <c r="I7" i="34"/>
  <c r="I25" i="34" s="1"/>
  <c r="J7" i="34"/>
  <c r="J25" i="34" s="1"/>
  <c r="H7" i="34"/>
  <c r="H25" i="34" s="1"/>
  <c r="H71" i="28"/>
  <c r="I71" i="28"/>
  <c r="J5" i="28"/>
  <c r="J71" i="28" s="1"/>
  <c r="J6" i="8"/>
  <c r="I6" i="8"/>
  <c r="H6" i="8"/>
  <c r="D10" i="25"/>
  <c r="I6" i="22"/>
  <c r="I26" i="22" s="1"/>
  <c r="H6" i="22"/>
  <c r="K6" i="8" l="1"/>
  <c r="K21" i="8" s="1"/>
  <c r="M6" i="8"/>
  <c r="K7" i="9"/>
  <c r="K41" i="9" s="1"/>
  <c r="K7" i="10"/>
  <c r="K55" i="10" s="1"/>
  <c r="J7" i="7"/>
  <c r="L7" i="7" s="1"/>
  <c r="K7" i="34"/>
  <c r="K25" i="34" s="1"/>
  <c r="K5" i="28"/>
  <c r="K71" i="28" s="1"/>
  <c r="H26" i="22"/>
  <c r="K6" i="22"/>
  <c r="I21" i="8"/>
  <c r="J21" i="8"/>
  <c r="H21" i="8"/>
  <c r="I55" i="10"/>
  <c r="H55" i="10"/>
  <c r="M7" i="9" l="1"/>
  <c r="M41" i="9" s="1"/>
  <c r="M7" i="10"/>
  <c r="M7" i="34"/>
  <c r="M25" i="34" s="1"/>
  <c r="M5" i="28"/>
  <c r="M71" i="28" s="1"/>
  <c r="M21" i="8"/>
  <c r="E17" i="21" l="1"/>
  <c r="F17" i="21"/>
  <c r="F28" i="20" l="1"/>
  <c r="J28" i="20" s="1"/>
  <c r="N28" i="20" s="1"/>
  <c r="F10" i="20"/>
  <c r="J10" i="20" s="1"/>
  <c r="N10" i="20" s="1"/>
  <c r="F8" i="20"/>
  <c r="J8" i="20" l="1"/>
  <c r="N8" i="20" s="1"/>
  <c r="F35" i="20"/>
  <c r="J35" i="20" l="1"/>
  <c r="N35" i="20" s="1"/>
  <c r="I19" i="1"/>
  <c r="G7" i="21"/>
  <c r="H7" i="21"/>
  <c r="J7" i="21" l="1"/>
  <c r="L7" i="21" s="1"/>
  <c r="H19" i="1"/>
  <c r="K19" i="1"/>
  <c r="F24" i="20"/>
  <c r="J24" i="20" s="1"/>
  <c r="N24" i="20" s="1"/>
  <c r="F18" i="20"/>
  <c r="I18" i="20"/>
  <c r="I44" i="20" s="1"/>
  <c r="M7" i="1" l="1"/>
  <c r="M19" i="1" s="1"/>
  <c r="J18" i="20"/>
  <c r="N18" i="20" s="1"/>
  <c r="F44" i="7" l="1"/>
  <c r="E44" i="7"/>
  <c r="F27" i="20" l="1"/>
  <c r="J27" i="20" s="1"/>
  <c r="N27" i="20" s="1"/>
  <c r="J17" i="20"/>
  <c r="N17" i="20" s="1"/>
  <c r="F16" i="20"/>
  <c r="J16" i="20" s="1"/>
  <c r="N16" i="20" s="1"/>
  <c r="F38" i="20"/>
  <c r="J38" i="20" s="1"/>
  <c r="N38" i="20" s="1"/>
  <c r="I44" i="7" l="1"/>
  <c r="J44" i="7"/>
  <c r="I7" i="37"/>
  <c r="H7" i="37"/>
  <c r="K7" i="37" l="1"/>
  <c r="M7" i="37" s="1"/>
  <c r="G19" i="37"/>
  <c r="F19" i="37"/>
  <c r="E19" i="37"/>
  <c r="I19" i="37"/>
  <c r="C20" i="33" s="1"/>
  <c r="E3" i="37"/>
  <c r="N2" i="37"/>
  <c r="K19" i="37" l="1"/>
  <c r="E20" i="33" s="1"/>
  <c r="H19" i="37"/>
  <c r="B20" i="33" s="1"/>
  <c r="M19" i="37"/>
  <c r="G20" i="33" s="1"/>
  <c r="J19" i="37"/>
  <c r="D20" i="33" s="1"/>
  <c r="J30" i="20" l="1"/>
  <c r="N30" i="20" s="1"/>
  <c r="J22" i="20" l="1"/>
  <c r="N22" i="20" s="1"/>
  <c r="J23" i="20"/>
  <c r="N23" i="20" s="1"/>
  <c r="J15" i="20" l="1"/>
  <c r="N15" i="20" s="1"/>
  <c r="J37" i="20" l="1"/>
  <c r="N37" i="20" s="1"/>
  <c r="J13" i="20" l="1"/>
  <c r="N13" i="20" s="1"/>
  <c r="J6" i="20"/>
  <c r="N6" i="20" s="1"/>
  <c r="J39" i="20" l="1"/>
  <c r="J19" i="20" l="1"/>
  <c r="N19" i="20" s="1"/>
  <c r="J43" i="20"/>
  <c r="N43" i="20" s="1"/>
  <c r="J7" i="20"/>
  <c r="N7" i="20" s="1"/>
  <c r="F32" i="20" l="1"/>
  <c r="J32" i="20" s="1"/>
  <c r="N32" i="20" s="1"/>
  <c r="J34" i="20"/>
  <c r="N34" i="20" s="1"/>
  <c r="F14" i="20" l="1"/>
  <c r="F44" i="20" s="1"/>
  <c r="J14" i="20" l="1"/>
  <c r="N14" i="20" s="1"/>
  <c r="J26" i="20" l="1"/>
  <c r="N26" i="20" s="1"/>
  <c r="G9" i="36" l="1"/>
  <c r="J21" i="20" l="1"/>
  <c r="N21" i="20" s="1"/>
  <c r="E15" i="33" l="1"/>
  <c r="B11" i="33"/>
  <c r="J33" i="20" l="1"/>
  <c r="N33" i="20" s="1"/>
  <c r="B26" i="33"/>
  <c r="E23" i="33" l="1"/>
  <c r="E19" i="33"/>
  <c r="E18" i="33"/>
  <c r="D18" i="33"/>
  <c r="H44" i="7"/>
  <c r="G44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M6" i="25"/>
  <c r="I16" i="25"/>
  <c r="C13" i="33" s="1"/>
  <c r="B13" i="33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6" i="22"/>
  <c r="E12" i="33" s="1"/>
  <c r="F26" i="22"/>
  <c r="E26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6" i="22"/>
  <c r="G12" i="33" l="1"/>
  <c r="M16" i="25"/>
  <c r="G13" i="33" s="1"/>
  <c r="M55" i="10" l="1"/>
  <c r="L44" i="7"/>
  <c r="G18" i="33" l="1"/>
  <c r="D10" i="33"/>
  <c r="D21" i="33" s="1"/>
  <c r="E10" i="33"/>
  <c r="E21" i="33" s="1"/>
  <c r="G15" i="33" l="1"/>
  <c r="G19" i="33"/>
  <c r="G10" i="33"/>
  <c r="J25" i="20"/>
  <c r="N25" i="20" s="1"/>
  <c r="E26" i="33"/>
  <c r="E27" i="33" s="1"/>
  <c r="D26" i="33"/>
  <c r="D27" i="33" s="1"/>
  <c r="C26" i="33"/>
  <c r="C27" i="33" s="1"/>
  <c r="C30" i="33" s="1"/>
  <c r="J42" i="20"/>
  <c r="N42" i="20" s="1"/>
  <c r="O43" i="20" s="1" a="1"/>
  <c r="O43" i="20" s="1"/>
  <c r="F3" i="20"/>
  <c r="K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J44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<sst xmlns="http://schemas.openxmlformats.org/spreadsheetml/2006/main" count="964" uniqueCount="566">
  <si>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</si>
  <si>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</si>
  <si>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</si>
  <si>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</si>
  <si>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</si>
  <si>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</si>
  <si>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</si>
  <si>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MAAR491126</t>
  </si>
  <si>
    <t>VAMF490821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</si>
  <si>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</si>
  <si>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</si>
  <si>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</si>
  <si>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</si>
  <si>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</si>
  <si>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</si>
  <si>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</si>
  <si>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</si>
  <si>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</si>
  <si>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</si>
  <si>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</si>
  <si>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</si>
  <si>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</si>
  <si>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</si>
  <si>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</si>
  <si>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</si>
  <si>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</si>
  <si>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</si>
  <si>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</si>
  <si>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</si>
  <si>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</si>
  <si>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</si>
  <si>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</si>
  <si>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</si>
  <si>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</si>
  <si>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</si>
  <si>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</si>
  <si>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</si>
  <si>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</si>
  <si>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</si>
  <si>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</si>
  <si>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</si>
  <si>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</si>
  <si>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</si>
  <si>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</si>
  <si>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</si>
  <si>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</si>
  <si>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</si>
  <si>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</si>
  <si>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</si>
  <si>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</si>
  <si>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</si>
  <si>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</si>
  <si>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</si>
  <si>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</si>
  <si>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</si>
  <si>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</si>
  <si>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</si>
  <si>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</si>
  <si>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</si>
  <si>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</si>
  <si>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</si>
  <si>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</si>
  <si>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</si>
  <si>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</si>
  <si>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</si>
  <si>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</si>
  <si>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</si>
  <si>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</si>
  <si>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</si>
  <si>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</si>
  <si>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</si>
  <si>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</si>
  <si>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</si>
  <si>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</si>
  <si>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</si>
  <si>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</si>
  <si>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</si>
  <si>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</si>
  <si>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</si>
  <si>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</si>
  <si>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</si>
  <si>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</si>
  <si>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</si>
  <si>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</si>
  <si>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</si>
  <si>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</si>
  <si>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</si>
  <si>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</si>
  <si>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</si>
  <si>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</si>
  <si>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</si>
  <si>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</si>
  <si>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</si>
  <si>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</si>
  <si>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</si>
  <si>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</si>
  <si>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</si>
  <si>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</si>
  <si>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</si>
  <si>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</si>
  <si>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</si>
  <si>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</si>
  <si>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</si>
  <si>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</si>
  <si>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</si>
  <si>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</si>
  <si>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</si>
  <si>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</si>
  <si>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</si>
  <si>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</si>
  <si>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</si>
  <si>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</si>
  <si>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</si>
  <si>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</si>
  <si>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</si>
  <si>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</si>
  <si>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</si>
  <si>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</si>
  <si>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</si>
  <si>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</si>
  <si>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</si>
  <si>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</si>
  <si>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</si>
  <si>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</si>
  <si>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</si>
  <si>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</si>
  <si>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</si>
  <si>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</si>
  <si>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</si>
  <si>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</si>
  <si>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</si>
  <si>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</si>
  <si>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</si>
  <si>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</si>
  <si>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</si>
  <si>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</si>
  <si>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</si>
  <si>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</si>
  <si>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</si>
  <si>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</si>
  <si>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</si>
  <si>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</si>
  <si>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</si>
  <si>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</si>
  <si>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</si>
  <si>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</si>
  <si>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</si>
  <si>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</si>
  <si>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</si>
  <si>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</si>
  <si>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</si>
  <si>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</si>
  <si>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</si>
  <si>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</si>
  <si>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</si>
  <si>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</si>
  <si>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</si>
  <si>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</si>
  <si>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</si>
  <si>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</si>
  <si>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</si>
  <si>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</si>
  <si>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</si>
  <si>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</si>
  <si>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</si>
  <si>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</si>
  <si>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</si>
  <si>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</si>
  <si>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</si>
  <si>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</si>
  <si>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</si>
  <si>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</si>
  <si>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</si>
  <si>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</si>
  <si>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</si>
  <si>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</si>
  <si>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</si>
  <si>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</si>
  <si>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</si>
  <si>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</si>
  <si>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</si>
  <si>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</si>
  <si>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</si>
  <si>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</si>
  <si>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</si>
  <si>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</si>
  <si>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</si>
  <si>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</si>
  <si>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</si>
  <si>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</si>
  <si>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</si>
  <si>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</si>
  <si>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</si>
  <si>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</si>
  <si>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</si>
  <si>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</si>
  <si>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</si>
  <si>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</si>
  <si>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</si>
  <si>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</si>
  <si>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</si>
  <si>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</si>
  <si>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</si>
  <si>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</si>
  <si>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</si>
  <si>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</si>
  <si>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</si>
  <si>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</si>
  <si>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</si>
  <si>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</si>
  <si>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</si>
  <si>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</si>
  <si>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</si>
  <si>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</si>
  <si>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</si>
  <si>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</si>
  <si>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</si>
  <si>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</si>
  <si>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</si>
  <si>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</si>
  <si>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</si>
  <si>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</si>
  <si>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</si>
  <si>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</si>
  <si>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</si>
  <si>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</si>
  <si>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</si>
  <si>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</si>
  <si>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</si>
  <si>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</si>
  <si>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</si>
  <si>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</si>
  <si>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</si>
  <si>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</si>
  <si>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</si>
  <si>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</si>
  <si>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</si>
  <si>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</si>
  <si>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</si>
  <si>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</si>
  <si>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</si>
  <si>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</si>
  <si>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</si>
  <si>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</si>
  <si>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</si>
  <si>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</si>
  <si>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</si>
  <si>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</si>
  <si>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</si>
  <si>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</si>
  <si>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</si>
  <si>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</si>
  <si>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</si>
  <si>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</si>
  <si>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</si>
  <si>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</si>
  <si>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</si>
  <si>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</si>
  <si>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</si>
  <si>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</si>
  <si>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</si>
  <si>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</si>
  <si>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</si>
  <si>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</si>
  <si>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</si>
  <si>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</si>
  <si>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</si>
  <si>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</si>
  <si>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</si>
  <si>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</si>
  <si>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</si>
  <si>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</si>
  <si>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</si>
  <si>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</si>
  <si>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</si>
  <si>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</si>
  <si>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</si>
  <si>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</si>
  <si>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</si>
  <si>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</si>
  <si>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</si>
  <si>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</si>
  <si>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</si>
  <si>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</si>
  <si>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</si>
  <si>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</si>
  <si>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</si>
  <si>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</si>
  <si>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</si>
  <si>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</si>
  <si>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</si>
  <si>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</si>
  <si>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</si>
  <si>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</si>
  <si>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</si>
  <si>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</si>
  <si>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</si>
  <si>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</si>
  <si>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</si>
  <si>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</si>
  <si>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</si>
  <si>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</si>
  <si>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</si>
  <si>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</si>
  <si>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</si>
  <si>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</si>
  <si>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</si>
  <si>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</si>
  <si>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</si>
  <si>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</si>
  <si>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</si>
  <si>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</si>
  <si>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</si>
  <si>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</si>
  <si>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</si>
  <si>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</si>
  <si>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</si>
  <si>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</si>
  <si>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</si>
  <si>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</si>
  <si>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</si>
  <si>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</si>
  <si>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</si>
  <si>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</si>
  <si>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</si>
  <si>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</si>
  <si>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</si>
  <si>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</si>
  <si>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</si>
  <si>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</si>
  <si>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</si>
  <si>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</si>
  <si>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</si>
  <si>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</si>
  <si>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</si>
  <si>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</si>
  <si>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</si>
  <si>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</si>
  <si>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</si>
  <si>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</si>
  <si>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</si>
  <si>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</si>
  <si>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</si>
  <si>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</si>
  <si>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</si>
  <si>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</si>
  <si>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</si>
  <si>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</si>
  <si>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</si>
  <si>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</si>
  <si>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</si>
  <si>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</si>
  <si>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</si>
  <si>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</si>
  <si>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</si>
  <si>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</si>
  <si>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</si>
  <si>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</si>
  <si>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</si>
  <si>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</si>
  <si>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</si>
  <si>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</si>
  <si>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</si>
  <si>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</si>
  <si>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</si>
  <si>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FECHA DE INGRESO</t>
  </si>
  <si>
    <t>AUXILIAR DE INTENDENCIA D</t>
  </si>
  <si>
    <t>GAETA ARELLANO ALAN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</si>
  <si>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</si>
  <si>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</si>
  <si>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</si>
  <si>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</si>
  <si>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</si>
  <si>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</si>
  <si>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</si>
  <si>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</si>
  <si>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</si>
  <si>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</si>
  <si>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</si>
  <si>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</si>
  <si>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</si>
  <si>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</si>
  <si>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</si>
  <si>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</si>
  <si>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</si>
  <si>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</si>
  <si>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</si>
  <si>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</si>
  <si>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</si>
  <si>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</si>
  <si>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</si>
  <si>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</si>
  <si>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</si>
  <si>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</si>
  <si>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 xml:space="preserve"> GOLS570725E69 </t>
  </si>
  <si>
    <t xml:space="preserve"> MOEC5007165T5 </t>
  </si>
  <si>
    <t>NUAM521123SW4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</si>
  <si>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</si>
  <si>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</si>
  <si>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</si>
  <si>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</si>
  <si>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</si>
  <si>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</si>
  <si>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</si>
  <si>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</si>
  <si>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</si>
  <si>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>NO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</si>
  <si>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</si>
  <si>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</si>
  <si>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</si>
  <si>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</si>
  <si>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</si>
  <si>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</si>
  <si>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</si>
  <si>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ALONSO MOYA TANIA GISELA</t>
  </si>
  <si>
    <t>ENCARGADA DE BIBLIOTECA</t>
  </si>
  <si>
    <t>SAPJ7606189H3</t>
  </si>
  <si>
    <t>LEDESMA RODRIGUEZ JAIME</t>
  </si>
  <si>
    <t xml:space="preserve"> CAMJ511224G98 </t>
  </si>
  <si>
    <t>AARA620704B14</t>
  </si>
  <si>
    <t>AAGF580528DM7</t>
  </si>
  <si>
    <t>AALM461101H64</t>
  </si>
  <si>
    <t>AAPO721027NE5</t>
  </si>
  <si>
    <t>BAAP560530GP9</t>
  </si>
  <si>
    <t>CAAJ690827DB9</t>
  </si>
  <si>
    <t>CAGJ570216BC6</t>
  </si>
  <si>
    <t>CAHR740212B30</t>
  </si>
  <si>
    <t>CAMG601024SY2</t>
  </si>
  <si>
    <t>CAV0570628SU8</t>
  </si>
  <si>
    <t>CACS481117CL2</t>
  </si>
  <si>
    <t>CADM451015P78</t>
  </si>
  <si>
    <t>CUUR530708P72</t>
  </si>
  <si>
    <t>EEPN4511124U3</t>
  </si>
  <si>
    <t>GORL4807309X9</t>
  </si>
  <si>
    <t>GORM590820QX4</t>
  </si>
  <si>
    <t>GUPR571112K17</t>
  </si>
  <si>
    <t>LOLJ680801NI7</t>
  </si>
  <si>
    <t>MAPT580922H24</t>
  </si>
  <si>
    <t>MEGO6203072BA</t>
  </si>
  <si>
    <t>MESJ6301268M6</t>
  </si>
  <si>
    <t>MUQJ780121AL0</t>
  </si>
  <si>
    <t>OOGM631028SE2</t>
  </si>
  <si>
    <t>RARA440506GK9</t>
  </si>
  <si>
    <t>SAMR5709305Q7</t>
  </si>
  <si>
    <t>SACT5910026X8</t>
  </si>
  <si>
    <t>SAHM670102GY9</t>
  </si>
  <si>
    <t>SASS680218DE2</t>
  </si>
  <si>
    <t>SAVM790602G37</t>
  </si>
  <si>
    <t>SUAA5804031Z9</t>
  </si>
  <si>
    <t>UILA580708DV7</t>
  </si>
  <si>
    <t>YAHJ6407053A4</t>
  </si>
  <si>
    <t>FLORES PALAFOX CRISTINA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</si>
  <si>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</si>
  <si>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</si>
  <si>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</si>
  <si>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</si>
  <si>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</si>
  <si>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</si>
  <si>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</si>
  <si>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</si>
  <si>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</si>
  <si>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</si>
  <si>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</si>
  <si>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</si>
  <si>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</si>
  <si>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</si>
  <si>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</si>
  <si>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</si>
  <si>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</si>
  <si>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</si>
  <si>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</si>
  <si>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</si>
  <si>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</si>
  <si>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</si>
  <si>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</si>
  <si>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</si>
  <si>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</si>
  <si>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</si>
  <si>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</si>
  <si>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</si>
  <si>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</si>
  <si>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</si>
  <si>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</si>
  <si>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</si>
  <si>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</si>
  <si>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</si>
  <si>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</si>
  <si>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</si>
  <si>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</si>
  <si>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</si>
  <si>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</si>
  <si>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</si>
  <si>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</si>
  <si>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</si>
  <si>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</si>
  <si>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</si>
  <si>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</si>
  <si>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</si>
  <si>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</si>
  <si>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</si>
  <si>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</si>
  <si>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</si>
  <si>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</si>
  <si>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CORTEZ GONZALEZ ROSA LILIA</t>
  </si>
  <si>
    <t>RODRIGUEZ RAMIREZ CLAUDIA SANDRA</t>
  </si>
  <si>
    <t>FLORES CAMACHO ISAAC ALEJANDRO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</si>
  <si>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</si>
  <si>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</si>
  <si>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</si>
  <si>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</si>
  <si>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</si>
  <si>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</si>
  <si>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</si>
  <si>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</si>
  <si>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</si>
  <si>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CARRILLO LEGASPI  ISAC JUAN PABLO</t>
  </si>
  <si>
    <t>CHOFER DE CAMION C</t>
  </si>
  <si>
    <t>GALLEGOS RODRIGUEZ CESAR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</si>
  <si>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</si>
  <si>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</si>
  <si>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</si>
  <si>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</si>
  <si>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</si>
  <si>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</si>
  <si>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</si>
  <si>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</si>
  <si>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</si>
  <si>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</si>
  <si>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ORTIZ ALVAREZ EVELYN NICOLE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</si>
  <si>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</si>
  <si>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</si>
  <si>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</si>
  <si>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</si>
  <si>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</si>
  <si>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</si>
  <si>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</si>
  <si>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</si>
  <si>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LICENCIA DEL 11 DE DICIEMBRE 2023 AL 03 DE ENERO2024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</si>
  <si>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</si>
  <si>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</si>
  <si>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</si>
  <si>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</si>
  <si>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</si>
  <si>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</si>
  <si>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</si>
  <si>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</si>
  <si>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</si>
  <si>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</si>
  <si>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</si>
  <si>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</si>
  <si>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MARTINEZ CRUZ MAXIMILIANO</t>
  </si>
  <si>
    <t>SANCHEZ VANESSA</t>
  </si>
  <si>
    <t>MARTINEZ NERY PATRICIA</t>
  </si>
  <si>
    <t>VILLALOBOS SALAZAR BERNANDO</t>
  </si>
  <si>
    <t>GONZALEZ VAZQUEZ OSCAR</t>
  </si>
  <si>
    <t>LICENCIA SIN GOCE DE SUELDO DEL 29 DE ABRIL AL 28 DE OCTUBRE 2024</t>
  </si>
  <si>
    <t>MARTIN CARRANZA RICARDO</t>
  </si>
  <si>
    <t>URIBE LOZANO ALFREDO</t>
  </si>
  <si>
    <t>ANGULO CAMACHO EFRAIN</t>
  </si>
  <si>
    <t xml:space="preserve">HARO OCAMPO LIC. PEDRO </t>
  </si>
  <si>
    <t>GUZMAN GONZALEZ LEONCIO</t>
  </si>
  <si>
    <t>FRANCO PLASCENCIA MANUEL</t>
  </si>
  <si>
    <t>CHOFER DE MAQUINARIA D</t>
  </si>
  <si>
    <t>CASTRO IBANEZ CHRISTIAN MAXIMILIANO</t>
  </si>
  <si>
    <t>SEGUNDA QUINCENA DE JULIO DE 2024</t>
  </si>
  <si>
    <t>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</si>
</sst>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5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0" fontId="16" fillId="0" borderId="0" xfId="0" applyFont="1" applyAlignment="1">
      <alignment horizontal="left"/>
    </xf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8" fillId="0" borderId="0" xfId="0" applyNumberFormat="1" applyFont="1" applyAlignment="1">
      <alignment horizontal="center"/>
    </xf>
    <xf numFmtId="43" fontId="6" fillId="0" borderId="0" xfId="0" applyNumberFormat="1" applyFont="1"/>
    <xf numFmtId="0" fontId="20" fillId="0" borderId="0" xfId="0" applyFont="1" applyAlignment="1">
      <alignment horizontal="left"/>
    </xf>
    <xf numFmtId="0" fontId="0" fillId="2" borderId="0" xfId="0" applyFill="1"/>
    <xf numFmtId="14" fontId="0" fillId="2" borderId="0" xfId="0" applyNumberFormat="1" applyFill="1"/>
    <xf numFmtId="165" fontId="0" fillId="0" borderId="6" xfId="1" applyFont="1" applyFill="1" applyBorder="1" applyAlignment="1">
      <alignment horizontal="center"/>
    </xf>
    <xf numFmtId="14" fontId="19" fillId="0" borderId="0" xfId="0" applyNumberFormat="1" applyFont="1"/>
    <xf numFmtId="43" fontId="12" fillId="3" borderId="0" xfId="0" applyNumberFormat="1" applyFont="1" applyFill="1"/>
    <xf numFmtId="43" fontId="0" fillId="3" borderId="0" xfId="0" applyNumberFormat="1" applyFill="1"/>
    <xf numFmtId="43" fontId="2" fillId="3" borderId="0" xfId="0" applyNumberFormat="1" applyFont="1" applyFill="1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22" fillId="4" borderId="7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165" fontId="12" fillId="3" borderId="0" xfId="1" applyFont="1" applyFill="1"/>
    <xf numFmtId="0" fontId="12" fillId="3" borderId="0" xfId="0" applyFont="1" applyFill="1"/>
    <xf numFmtId="0" fontId="12" fillId="5" borderId="0" xfId="0" applyFont="1" applyFill="1"/>
    <xf numFmtId="165" fontId="12" fillId="0" borderId="0" xfId="1" applyFont="1"/>
    <xf numFmtId="165" fontId="12" fillId="0" borderId="0" xfId="1" applyFont="1" applyFill="1"/>
    <xf numFmtId="0" fontId="22" fillId="4" borderId="8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4" fillId="0" borderId="0" xfId="1" applyFont="1" applyFill="1" applyBorder="1" applyAlignment="1">
      <alignment horizontal="center" vertical="center"/>
    </xf>
    <xf numFmtId="0" fontId="2" fillId="2" borderId="0" xfId="0" applyFont="1" applyFill="1"/>
    <xf numFmtId="165" fontId="11" fillId="0" borderId="0" xfId="1" applyFont="1" applyFill="1" applyBorder="1"/>
    <xf numFmtId="165" fontId="2" fillId="0" borderId="0" xfId="1" applyFont="1" applyFill="1" applyBorder="1"/>
    <xf numFmtId="14" fontId="2" fillId="2" borderId="0" xfId="0" applyNumberFormat="1" applyFont="1" applyFill="1"/>
    <xf numFmtId="165" fontId="2" fillId="0" borderId="0" xfId="0" applyNumberFormat="1" applyFont="1"/>
    <xf numFmtId="0" fontId="14" fillId="0" borderId="0" xfId="0" applyFont="1"/>
    <xf numFmtId="0" fontId="12" fillId="6" borderId="0" xfId="0" applyFont="1" applyFill="1"/>
    <xf numFmtId="0" fontId="17" fillId="0" borderId="0" xfId="0" applyFont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65" fontId="9" fillId="0" borderId="10" xfId="1" applyFont="1" applyBorder="1" applyAlignment="1">
      <alignment horizontal="right"/>
    </xf>
    <xf numFmtId="0" fontId="0" fillId="7" borderId="0" xfId="0" applyFill="1"/>
    <xf numFmtId="43" fontId="0" fillId="7" borderId="0" xfId="0" applyNumberFormat="1" applyFill="1"/>
    <xf numFmtId="0" fontId="2" fillId="7" borderId="0" xfId="0" applyFont="1" applyFill="1"/>
    <xf numFmtId="0" fontId="9" fillId="7" borderId="0" xfId="0" applyFont="1" applyFill="1"/>
    <xf numFmtId="165" fontId="2" fillId="7" borderId="0" xfId="1" applyFont="1" applyFill="1"/>
    <xf numFmtId="165" fontId="0" fillId="7" borderId="6" xfId="1" applyFont="1" applyFill="1" applyBorder="1" applyAlignment="1">
      <alignment horizontal="center"/>
    </xf>
    <xf numFmtId="165" fontId="2" fillId="7" borderId="4" xfId="1" applyFont="1" applyFill="1" applyBorder="1" applyAlignment="1">
      <alignment horizontal="center"/>
    </xf>
    <xf numFmtId="14" fontId="19" fillId="7" borderId="0" xfId="0" applyNumberFormat="1" applyFont="1" applyFill="1"/>
    <xf numFmtId="165" fontId="9" fillId="7" borderId="0" xfId="1" applyFont="1" applyFill="1"/>
    <xf numFmtId="14" fontId="0" fillId="7" borderId="0" xfId="0" applyNumberFormat="1" applyFill="1"/>
    <xf numFmtId="14" fontId="2" fillId="7" borderId="0" xfId="0" applyNumberFormat="1" applyFont="1" applyFill="1"/>
    <xf numFmtId="14" fontId="17" fillId="7" borderId="0" xfId="0" applyNumberFormat="1" applyFont="1" applyFill="1"/>
    <xf numFmtId="43" fontId="2" fillId="7" borderId="0" xfId="0" applyNumberFormat="1" applyFont="1" applyFill="1"/>
    <xf numFmtId="43" fontId="9" fillId="7" borderId="0" xfId="0" applyNumberFormat="1" applyFont="1" applyFill="1"/>
    <xf numFmtId="14" fontId="17" fillId="7" borderId="0" xfId="0" applyNumberFormat="1" applyFont="1" applyFill="1" applyAlignment="1">
      <alignment horizontal="right"/>
    </xf>
    <xf numFmtId="165" fontId="0" fillId="7" borderId="0" xfId="1" applyFont="1" applyFill="1"/>
    <xf numFmtId="165" fontId="0" fillId="7" borderId="4" xfId="1" applyFont="1" applyFill="1" applyBorder="1" applyAlignment="1">
      <alignment horizontal="center"/>
    </xf>
    <xf numFmtId="14" fontId="12" fillId="7" borderId="0" xfId="0" applyNumberFormat="1" applyFont="1" applyFill="1"/>
    <xf numFmtId="43" fontId="12" fillId="7" borderId="0" xfId="0" applyNumberFormat="1" applyFont="1" applyFill="1"/>
    <xf numFmtId="0" fontId="12" fillId="7" borderId="0" xfId="0" applyFont="1" applyFill="1"/>
    <xf numFmtId="165" fontId="0" fillId="7" borderId="5" xfId="1" applyFont="1" applyFill="1" applyBorder="1"/>
    <xf numFmtId="166" fontId="17" fillId="7" borderId="0" xfId="0" applyNumberFormat="1" applyFont="1" applyFill="1" applyAlignment="1">
      <alignment horizontal="right"/>
    </xf>
    <xf numFmtId="14" fontId="19" fillId="7" borderId="0" xfId="0" applyNumberFormat="1" applyFont="1" applyFill="1" applyAlignment="1">
      <alignment horizontal="right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165" fontId="19" fillId="7" borderId="0" xfId="1" applyFont="1" applyFill="1"/>
    <xf numFmtId="0" fontId="25" fillId="7" borderId="0" xfId="0" applyFont="1" applyFill="1" applyAlignment="1">
      <alignment horizontal="center"/>
    </xf>
    <xf numFmtId="165" fontId="19" fillId="7" borderId="4" xfId="1" applyFont="1" applyFill="1" applyBorder="1" applyAlignment="1">
      <alignment horizontal="center"/>
    </xf>
    <xf numFmtId="43" fontId="19" fillId="7" borderId="0" xfId="0" applyNumberFormat="1" applyFont="1" applyFill="1"/>
    <xf numFmtId="165" fontId="26" fillId="7" borderId="0" xfId="1" applyFont="1" applyFill="1"/>
    <xf numFmtId="14" fontId="26" fillId="7" borderId="0" xfId="0" applyNumberFormat="1" applyFont="1" applyFill="1"/>
    <xf numFmtId="43" fontId="26" fillId="7" borderId="0" xfId="0" applyNumberFormat="1" applyFont="1" applyFill="1"/>
    <xf numFmtId="0" fontId="14" fillId="7" borderId="0" xfId="0" applyFont="1" applyFill="1"/>
    <xf numFmtId="165" fontId="0" fillId="7" borderId="4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right"/>
    </xf>
    <xf numFmtId="14" fontId="18" fillId="7" borderId="0" xfId="0" applyNumberFormat="1" applyFont="1" applyFill="1" applyAlignment="1">
      <alignment horizontal="center"/>
    </xf>
    <xf numFmtId="165" fontId="23" fillId="7" borderId="0" xfId="1" applyFont="1" applyFill="1"/>
    <xf numFmtId="4" fontId="0" fillId="7" borderId="0" xfId="0" applyNumberFormat="1" applyFill="1"/>
    <xf numFmtId="15" fontId="0" fillId="7" borderId="0" xfId="0" applyNumberForma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R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H26" sqref="H26:H27"/>
    </sheetView>
  </sheetViews>
  <sheetFormatPr baseColWidth="10" defaultRowHeight="12.75" x14ac:dyDescent="0.2"/>
  <cols>
    <col min="1" max="1" width="1.7109375" hidden="1" customWidth="1"/>
    <col min="2" max="2" width="38.710937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  <col min="15" max="18" width="11.42578125" style="135"/>
  </cols>
  <sheetData>
    <row r="1" spans="2:18" ht="18" x14ac:dyDescent="0.25">
      <c r="E1" s="12" t="s">
        <v>0</v>
      </c>
      <c r="I1" s="12"/>
      <c r="M1" s="14" t="s">
        <v>1</v>
      </c>
    </row>
    <row r="2" spans="2:18" ht="15" x14ac:dyDescent="0.25">
      <c r="E2" s="15" t="s">
        <v>98</v>
      </c>
      <c r="I2" s="15"/>
      <c r="M2" s="16" t="str">
        <f>+PRESIDENCIA!N2</f>
        <v>31 DE JULIO DE 2024</v>
      </c>
    </row>
    <row r="3" spans="2:18" x14ac:dyDescent="0.2">
      <c r="E3" s="42" t="str">
        <f>+PRESIDENCIA!E3</f>
        <v>SEGUNDA QUINCENA DE JULIO DE 2024</v>
      </c>
      <c r="I3" s="43"/>
    </row>
    <row r="4" spans="2:18" x14ac:dyDescent="0.2">
      <c r="E4" s="43" t="s">
        <v>26</v>
      </c>
      <c r="I4" s="43"/>
    </row>
    <row r="5" spans="2:18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18" t="s">
        <v>4</v>
      </c>
      <c r="H5" s="18" t="s">
        <v>29</v>
      </c>
      <c r="I5" s="45" t="s">
        <v>33</v>
      </c>
      <c r="J5" s="112" t="s">
        <v>400</v>
      </c>
      <c r="K5" s="113" t="s">
        <v>496</v>
      </c>
      <c r="L5" s="18" t="s">
        <v>5</v>
      </c>
      <c r="M5" s="17" t="s">
        <v>6</v>
      </c>
      <c r="N5" s="95" t="s">
        <v>365</v>
      </c>
    </row>
    <row r="6" spans="2:18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8" ht="24.95" customHeight="1" x14ac:dyDescent="0.2">
      <c r="B7" s="2" t="s">
        <v>263</v>
      </c>
      <c r="C7" s="5"/>
      <c r="D7" s="3" t="s">
        <v>259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6">
        <v>44470</v>
      </c>
      <c r="O7" s="136"/>
      <c r="P7" s="136"/>
    </row>
    <row r="8" spans="2:18" s="51" customFormat="1" ht="24.95" customHeight="1" x14ac:dyDescent="0.2">
      <c r="B8" s="2" t="s">
        <v>266</v>
      </c>
      <c r="C8" s="5"/>
      <c r="D8" s="3" t="s">
        <v>259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" si="4">+G8*0.115</f>
        <v>1525.0805816250001</v>
      </c>
      <c r="K8" s="7"/>
      <c r="L8" s="7">
        <f t="shared" ref="L8" si="5">G8-H8+I8-J8-K8</f>
        <v>9737.8146933750013</v>
      </c>
      <c r="M8" s="11"/>
      <c r="N8" s="79">
        <v>44470</v>
      </c>
      <c r="O8" s="137"/>
      <c r="P8" s="137"/>
      <c r="Q8" s="138"/>
      <c r="R8" s="137"/>
    </row>
    <row r="9" spans="2:18" ht="24.95" customHeight="1" x14ac:dyDescent="0.2">
      <c r="B9" s="2" t="s">
        <v>267</v>
      </c>
      <c r="C9" s="5"/>
      <c r="D9" s="3" t="s">
        <v>259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ref="J9:J15" si="6">+G9*0.115</f>
        <v>1525.0805816250001</v>
      </c>
      <c r="K9" s="7"/>
      <c r="L9" s="7">
        <f t="shared" ref="L9:L15" si="7">G9-H9+I9-J9-K9</f>
        <v>9737.8146933750013</v>
      </c>
      <c r="M9" s="11"/>
      <c r="N9" s="96">
        <v>44470</v>
      </c>
    </row>
    <row r="10" spans="2:18" ht="24.95" customHeight="1" x14ac:dyDescent="0.2">
      <c r="B10" s="2" t="s">
        <v>265</v>
      </c>
      <c r="C10" s="5"/>
      <c r="D10" s="3" t="s">
        <v>259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6">
        <v>44470</v>
      </c>
      <c r="O10" s="135" t="s">
        <v>406</v>
      </c>
    </row>
    <row r="11" spans="2:18" ht="24.95" customHeight="1" x14ac:dyDescent="0.2">
      <c r="B11" s="10" t="s">
        <v>261</v>
      </c>
      <c r="C11" s="5"/>
      <c r="D11" s="3" t="s">
        <v>259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6"/>
        <v>1525.0805816250001</v>
      </c>
      <c r="K11" s="7"/>
      <c r="L11" s="7">
        <f t="shared" si="7"/>
        <v>9737.8146933750013</v>
      </c>
      <c r="M11" s="11"/>
      <c r="N11" s="96">
        <v>44470</v>
      </c>
    </row>
    <row r="12" spans="2:18" ht="24.95" customHeight="1" x14ac:dyDescent="0.2">
      <c r="B12" s="2" t="s">
        <v>560</v>
      </c>
      <c r="C12" s="5"/>
      <c r="D12" s="3" t="s">
        <v>259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6">
        <v>44470</v>
      </c>
    </row>
    <row r="13" spans="2:18" ht="24.95" customHeight="1" x14ac:dyDescent="0.2">
      <c r="B13" s="2" t="s">
        <v>262</v>
      </c>
      <c r="C13" s="5"/>
      <c r="D13" s="3" t="s">
        <v>259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6">
        <v>44470</v>
      </c>
    </row>
    <row r="14" spans="2:18" ht="24.95" customHeight="1" x14ac:dyDescent="0.2">
      <c r="B14" s="2" t="s">
        <v>264</v>
      </c>
      <c r="C14" s="5"/>
      <c r="D14" s="3" t="s">
        <v>259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6">
        <v>44470</v>
      </c>
    </row>
    <row r="15" spans="2:18" ht="24.95" customHeight="1" x14ac:dyDescent="0.2">
      <c r="B15" s="2" t="s">
        <v>260</v>
      </c>
      <c r="C15" s="5"/>
      <c r="D15" s="3" t="s">
        <v>259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6"/>
        <v>1525.0805816250001</v>
      </c>
      <c r="K15" s="7"/>
      <c r="L15" s="7">
        <f t="shared" si="7"/>
        <v>9737.8146933750013</v>
      </c>
      <c r="M15" s="11"/>
      <c r="N15" s="96">
        <v>44470</v>
      </c>
    </row>
    <row r="16" spans="2:18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9</v>
      </c>
      <c r="E17" s="26">
        <f>SUM(E7:E16)</f>
        <v>235972.69440000004</v>
      </c>
      <c r="F17" s="26">
        <f>SUM(F7:F16)</f>
        <v>35391.829999999994</v>
      </c>
      <c r="G17" s="26">
        <f>SUM(G7:G16)</f>
        <v>117986.34720000002</v>
      </c>
      <c r="H17" s="26">
        <f t="shared" ref="H17:K17" si="8">SUM(H7:H16)</f>
        <v>17695.914999999997</v>
      </c>
      <c r="I17" s="26">
        <f t="shared" si="8"/>
        <v>0</v>
      </c>
      <c r="J17" s="26">
        <f t="shared" si="8"/>
        <v>12200.644652999999</v>
      </c>
      <c r="K17" s="26">
        <f t="shared" si="8"/>
        <v>0</v>
      </c>
      <c r="L17" s="26">
        <f>SUM(L7:L16)</f>
        <v>88089.787547</v>
      </c>
      <c r="M17" s="47"/>
      <c r="N17" s="26"/>
    </row>
    <row r="19" spans="2:14" x14ac:dyDescent="0.2">
      <c r="B19" t="s">
        <v>26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1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P12" sqref="P12:R19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137" bestFit="1" customWidth="1"/>
    <col min="17" max="17" width="11.42578125" style="139"/>
    <col min="18" max="20" width="11.42578125" style="137"/>
    <col min="21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5" t="s">
        <v>36</v>
      </c>
      <c r="J2" s="85"/>
      <c r="N2" s="16" t="s">
        <v>565</v>
      </c>
    </row>
    <row r="3" spans="1:20" x14ac:dyDescent="0.2">
      <c r="E3" s="42" t="s">
        <v>564</v>
      </c>
      <c r="J3" s="42"/>
    </row>
    <row r="4" spans="1:20" x14ac:dyDescent="0.2">
      <c r="E4" s="42" t="s">
        <v>26</v>
      </c>
      <c r="J4" s="42"/>
    </row>
    <row r="5" spans="1:20" ht="25.5" x14ac:dyDescent="0.2">
      <c r="B5" s="84" t="s">
        <v>3</v>
      </c>
      <c r="C5" s="84"/>
      <c r="D5" s="84" t="s">
        <v>11</v>
      </c>
      <c r="E5" s="44" t="s">
        <v>4</v>
      </c>
      <c r="F5" s="44" t="s">
        <v>29</v>
      </c>
      <c r="G5" s="44"/>
      <c r="H5" s="45" t="s">
        <v>4</v>
      </c>
      <c r="I5" s="45" t="s">
        <v>29</v>
      </c>
      <c r="J5" s="45" t="s">
        <v>33</v>
      </c>
      <c r="K5" s="112" t="s">
        <v>400</v>
      </c>
      <c r="L5" s="113" t="s">
        <v>496</v>
      </c>
      <c r="M5" s="45" t="s">
        <v>5</v>
      </c>
      <c r="N5" s="84" t="s">
        <v>6</v>
      </c>
      <c r="O5" s="140" t="s">
        <v>365</v>
      </c>
      <c r="P5" s="141"/>
    </row>
    <row r="6" spans="1:20" x14ac:dyDescent="0.2">
      <c r="B6" s="50"/>
      <c r="C6" s="50"/>
      <c r="D6" s="50"/>
      <c r="E6" s="115"/>
      <c r="F6" s="115"/>
      <c r="G6" s="115"/>
      <c r="H6" s="72"/>
      <c r="I6" s="72"/>
      <c r="J6" s="72"/>
      <c r="K6" s="72"/>
      <c r="L6" s="72"/>
      <c r="M6" s="72"/>
      <c r="N6" s="50"/>
    </row>
    <row r="7" spans="1:20" ht="24.95" customHeight="1" x14ac:dyDescent="0.2">
      <c r="B7" s="51" t="s">
        <v>559</v>
      </c>
      <c r="C7" s="75"/>
      <c r="D7" s="86" t="s">
        <v>47</v>
      </c>
      <c r="E7" s="111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1">
        <f>H7-I7+J7-K7-L7</f>
        <v>19869.8220105</v>
      </c>
      <c r="N7" s="74"/>
      <c r="O7" s="142">
        <v>44470</v>
      </c>
      <c r="P7" s="138" t="s">
        <v>537</v>
      </c>
      <c r="Q7" s="143"/>
      <c r="R7" s="143"/>
      <c r="S7" s="143"/>
    </row>
    <row r="8" spans="1:20" ht="24.95" customHeight="1" x14ac:dyDescent="0.2">
      <c r="A8" s="51"/>
      <c r="B8" s="51" t="s">
        <v>210</v>
      </c>
      <c r="C8" s="75"/>
      <c r="D8" s="62" t="s">
        <v>545</v>
      </c>
      <c r="E8" s="110">
        <v>11274.556649999999</v>
      </c>
      <c r="F8" s="39">
        <v>917.08</v>
      </c>
      <c r="G8" s="111"/>
      <c r="H8" s="7">
        <f t="shared" ref="H8:H18" si="1">E8/2</f>
        <v>5637.2783249999993</v>
      </c>
      <c r="I8" s="7">
        <f t="shared" ref="I8:I18" si="2">F8/2</f>
        <v>458.54</v>
      </c>
      <c r="J8" s="61">
        <f t="shared" ref="J8:J18" si="3">G8/2</f>
        <v>0</v>
      </c>
      <c r="K8" s="61">
        <f t="shared" ref="K8:K14" si="4">+H8*0.115</f>
        <v>648.28700737499992</v>
      </c>
      <c r="M8" s="61">
        <f>H8-I8+J8-K8-L8</f>
        <v>4530.4513176249993</v>
      </c>
      <c r="N8" s="74"/>
      <c r="O8" s="144">
        <v>43432</v>
      </c>
      <c r="P8" s="145"/>
      <c r="R8" s="139"/>
      <c r="S8" s="139"/>
    </row>
    <row r="9" spans="1:20" ht="24.95" customHeight="1" x14ac:dyDescent="0.2">
      <c r="A9" s="51"/>
      <c r="B9" s="51" t="s">
        <v>269</v>
      </c>
      <c r="D9" s="86" t="s">
        <v>270</v>
      </c>
      <c r="E9" s="111">
        <v>15180.3236</v>
      </c>
      <c r="F9" s="39">
        <v>1585.09</v>
      </c>
      <c r="G9" s="111"/>
      <c r="H9" s="7">
        <f t="shared" si="1"/>
        <v>7590.1617999999999</v>
      </c>
      <c r="I9" s="7">
        <f t="shared" si="2"/>
        <v>792.54499999999996</v>
      </c>
      <c r="J9" s="61">
        <f t="shared" si="3"/>
        <v>0</v>
      </c>
      <c r="K9" s="61">
        <f t="shared" si="4"/>
        <v>872.868607</v>
      </c>
      <c r="L9" s="61">
        <v>3796</v>
      </c>
      <c r="M9" s="61">
        <f t="shared" ref="M9:M17" si="5">H9-I9+J9-K9-L9</f>
        <v>2128.7481929999994</v>
      </c>
      <c r="N9" s="74"/>
      <c r="O9" s="146">
        <v>44204</v>
      </c>
      <c r="P9" s="137" t="s">
        <v>549</v>
      </c>
      <c r="R9" s="139"/>
      <c r="S9" s="139"/>
    </row>
    <row r="10" spans="1:20" ht="24.95" customHeight="1" x14ac:dyDescent="0.2">
      <c r="A10" s="51"/>
      <c r="B10" s="51" t="s">
        <v>232</v>
      </c>
      <c r="C10" s="75"/>
      <c r="D10" s="54" t="s">
        <v>289</v>
      </c>
      <c r="E10" s="110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1">
        <f t="shared" si="3"/>
        <v>0</v>
      </c>
      <c r="K10" s="21">
        <f t="shared" si="4"/>
        <v>791.34122862499999</v>
      </c>
      <c r="L10" s="21"/>
      <c r="M10" s="61">
        <f t="shared" si="5"/>
        <v>5424.3818463749994</v>
      </c>
      <c r="N10" s="74"/>
      <c r="O10" s="144">
        <v>36892</v>
      </c>
      <c r="P10" s="145"/>
      <c r="R10" s="139"/>
      <c r="S10" s="139"/>
    </row>
    <row r="11" spans="1:20" ht="24.95" customHeight="1" x14ac:dyDescent="0.2">
      <c r="A11" s="51"/>
      <c r="B11" s="51" t="s">
        <v>374</v>
      </c>
      <c r="D11" s="86" t="s">
        <v>272</v>
      </c>
      <c r="E11" s="111">
        <v>11274.556649999999</v>
      </c>
      <c r="F11" s="39">
        <v>917.08</v>
      </c>
      <c r="G11" s="111"/>
      <c r="H11" s="7">
        <f t="shared" si="1"/>
        <v>5637.2783249999993</v>
      </c>
      <c r="I11" s="7">
        <f t="shared" si="2"/>
        <v>458.54</v>
      </c>
      <c r="J11" s="61">
        <f t="shared" si="3"/>
        <v>0</v>
      </c>
      <c r="K11" s="61">
        <f t="shared" ref="K11" si="6">+H11*0.115</f>
        <v>648.28700737499992</v>
      </c>
      <c r="M11" s="61">
        <f t="shared" ref="M11" si="7">H11-I11+J11-K11-L11</f>
        <v>4530.4513176249993</v>
      </c>
      <c r="N11" s="74"/>
      <c r="O11" s="142">
        <v>44510</v>
      </c>
      <c r="R11" s="139"/>
      <c r="S11" s="139"/>
    </row>
    <row r="12" spans="1:20" customFormat="1" ht="24.75" customHeight="1" x14ac:dyDescent="0.2">
      <c r="B12" s="51" t="s">
        <v>200</v>
      </c>
      <c r="C12" s="75"/>
      <c r="D12" s="86" t="s">
        <v>324</v>
      </c>
      <c r="E12" s="111">
        <v>9918.5717000000004</v>
      </c>
      <c r="F12" s="39">
        <v>762.04</v>
      </c>
      <c r="G12" s="111"/>
      <c r="H12" s="7">
        <f t="shared" si="1"/>
        <v>4959.2858500000002</v>
      </c>
      <c r="I12" s="7">
        <f t="shared" si="2"/>
        <v>381.02</v>
      </c>
      <c r="J12" s="61">
        <f t="shared" si="3"/>
        <v>0</v>
      </c>
      <c r="K12" s="7">
        <f t="shared" ref="K12" si="8">+H12*0.115</f>
        <v>570.31787274999999</v>
      </c>
      <c r="L12" s="7"/>
      <c r="M12" s="61">
        <f t="shared" si="5"/>
        <v>4007.9479772499999</v>
      </c>
      <c r="N12" s="11"/>
      <c r="O12" s="144">
        <v>43374</v>
      </c>
      <c r="P12" s="147"/>
      <c r="Q12" s="137"/>
      <c r="R12" s="135"/>
      <c r="S12" s="135"/>
      <c r="T12" s="148"/>
    </row>
    <row r="13" spans="1:20" ht="24.95" customHeight="1" x14ac:dyDescent="0.2">
      <c r="A13" s="51"/>
      <c r="B13" s="51" t="s">
        <v>233</v>
      </c>
      <c r="C13" s="75"/>
      <c r="D13" s="86" t="s">
        <v>253</v>
      </c>
      <c r="E13" s="111">
        <v>13614.64</v>
      </c>
      <c r="F13" s="39">
        <v>1304.52</v>
      </c>
      <c r="G13" s="111"/>
      <c r="H13" s="7">
        <f t="shared" si="1"/>
        <v>6807.32</v>
      </c>
      <c r="I13" s="7">
        <f t="shared" si="2"/>
        <v>652.26</v>
      </c>
      <c r="J13" s="61">
        <f t="shared" si="3"/>
        <v>0</v>
      </c>
      <c r="M13" s="61">
        <f>H13-I13+J13-K13-L13</f>
        <v>6155.0599999999995</v>
      </c>
      <c r="N13" s="74"/>
      <c r="O13" s="142">
        <v>43374</v>
      </c>
      <c r="P13" s="135"/>
      <c r="Q13" s="135"/>
    </row>
    <row r="14" spans="1:20" ht="24.95" customHeight="1" x14ac:dyDescent="0.2">
      <c r="A14" s="51"/>
      <c r="B14" s="51" t="s">
        <v>122</v>
      </c>
      <c r="C14" s="75"/>
      <c r="D14" s="86" t="s">
        <v>110</v>
      </c>
      <c r="E14" s="111">
        <v>6445.7480999999998</v>
      </c>
      <c r="F14" s="39">
        <v>130.66</v>
      </c>
      <c r="G14" s="111"/>
      <c r="H14" s="7">
        <f t="shared" si="1"/>
        <v>3222.8740499999999</v>
      </c>
      <c r="I14" s="7">
        <f t="shared" si="2"/>
        <v>65.33</v>
      </c>
      <c r="J14" s="61">
        <f t="shared" si="3"/>
        <v>0</v>
      </c>
      <c r="K14" s="61">
        <f t="shared" si="4"/>
        <v>370.63051575000003</v>
      </c>
      <c r="M14" s="61">
        <f t="shared" si="5"/>
        <v>2786.9135342499999</v>
      </c>
      <c r="N14" s="74"/>
      <c r="O14" s="142">
        <v>43374</v>
      </c>
      <c r="R14" s="139"/>
      <c r="S14" s="139"/>
    </row>
    <row r="15" spans="1:20" customFormat="1" ht="24.95" customHeight="1" x14ac:dyDescent="0.2">
      <c r="B15" t="s">
        <v>470</v>
      </c>
      <c r="D15" s="28" t="s">
        <v>459</v>
      </c>
      <c r="E15" s="110">
        <v>9657.48</v>
      </c>
      <c r="F15" s="39">
        <v>733.64</v>
      </c>
      <c r="G15" s="39"/>
      <c r="H15" s="7">
        <f t="shared" si="1"/>
        <v>4828.74</v>
      </c>
      <c r="I15" s="7">
        <f t="shared" si="2"/>
        <v>366.82</v>
      </c>
      <c r="J15" s="61">
        <f t="shared" si="3"/>
        <v>0</v>
      </c>
      <c r="K15" s="7">
        <f>+H15*0.115</f>
        <v>555.30510000000004</v>
      </c>
      <c r="L15" s="7"/>
      <c r="M15" s="91">
        <f t="shared" ref="M15" si="9">+H15-I15+J15-K15-L15</f>
        <v>3906.6149</v>
      </c>
      <c r="N15" s="11"/>
      <c r="O15" s="149">
        <v>44788</v>
      </c>
      <c r="P15" s="144"/>
      <c r="Q15" s="135"/>
      <c r="R15" s="135"/>
      <c r="S15" s="135"/>
      <c r="T15" s="150"/>
    </row>
    <row r="16" spans="1:20" ht="24.95" customHeight="1" x14ac:dyDescent="0.2">
      <c r="A16" s="51"/>
      <c r="B16" s="51" t="s">
        <v>271</v>
      </c>
      <c r="D16" s="86" t="s">
        <v>93</v>
      </c>
      <c r="E16" s="111">
        <v>8895.58</v>
      </c>
      <c r="F16" s="39">
        <v>650.74</v>
      </c>
      <c r="G16" s="111"/>
      <c r="H16" s="7">
        <f t="shared" si="1"/>
        <v>4447.79</v>
      </c>
      <c r="I16" s="7">
        <f t="shared" si="2"/>
        <v>325.37</v>
      </c>
      <c r="J16" s="61">
        <f t="shared" si="3"/>
        <v>0</v>
      </c>
      <c r="M16" s="61">
        <f t="shared" si="5"/>
        <v>4122.42</v>
      </c>
      <c r="N16" s="74"/>
      <c r="O16" s="146">
        <v>43739</v>
      </c>
      <c r="P16" s="135"/>
      <c r="Q16" s="135"/>
      <c r="R16" s="139"/>
      <c r="S16" s="139"/>
    </row>
    <row r="17" spans="1:19" ht="24.95" customHeight="1" x14ac:dyDescent="0.2">
      <c r="A17" s="51"/>
      <c r="B17" s="51" t="s">
        <v>360</v>
      </c>
      <c r="C17" s="75"/>
      <c r="D17" s="86" t="s">
        <v>253</v>
      </c>
      <c r="E17" s="111">
        <v>13614.64</v>
      </c>
      <c r="F17" s="39">
        <v>1304.52</v>
      </c>
      <c r="G17" s="111"/>
      <c r="H17" s="7">
        <f t="shared" si="1"/>
        <v>6807.32</v>
      </c>
      <c r="I17" s="7">
        <f t="shared" si="2"/>
        <v>652.26</v>
      </c>
      <c r="J17" s="61">
        <f t="shared" si="3"/>
        <v>0</v>
      </c>
      <c r="M17" s="61">
        <f t="shared" si="5"/>
        <v>6155.0599999999995</v>
      </c>
      <c r="N17" s="74"/>
      <c r="O17" s="146">
        <v>44485</v>
      </c>
      <c r="P17" s="135"/>
      <c r="Q17" s="135"/>
      <c r="R17" s="139"/>
      <c r="S17" s="139"/>
    </row>
    <row r="18" spans="1:19" ht="24.95" customHeight="1" x14ac:dyDescent="0.2">
      <c r="A18" s="51"/>
      <c r="B18" s="51" t="s">
        <v>234</v>
      </c>
      <c r="C18" s="75"/>
      <c r="D18" s="86" t="s">
        <v>253</v>
      </c>
      <c r="E18" s="111">
        <v>13614.64</v>
      </c>
      <c r="F18" s="39">
        <v>1304.52</v>
      </c>
      <c r="G18" s="111"/>
      <c r="H18" s="7">
        <f t="shared" si="1"/>
        <v>6807.32</v>
      </c>
      <c r="I18" s="7">
        <f t="shared" si="2"/>
        <v>652.26</v>
      </c>
      <c r="J18" s="61">
        <f t="shared" si="3"/>
        <v>0</v>
      </c>
      <c r="M18" s="61">
        <f>H18-I18+J18-K18-L18</f>
        <v>6155.0599999999995</v>
      </c>
      <c r="N18" s="74"/>
      <c r="O18" s="142">
        <v>43374</v>
      </c>
      <c r="P18" s="135"/>
      <c r="Q18" s="135"/>
      <c r="R18" s="139"/>
      <c r="S18" s="139"/>
    </row>
    <row r="19" spans="1:19" ht="21.95" customHeight="1" x14ac:dyDescent="0.2">
      <c r="D19" s="25" t="s">
        <v>9</v>
      </c>
      <c r="E19" s="26">
        <f t="shared" ref="E19:M19" si="10">SUM(E7:E18)</f>
        <v>185726.06744999997</v>
      </c>
      <c r="F19" s="26">
        <f t="shared" si="10"/>
        <v>22949.750000000004</v>
      </c>
      <c r="G19" s="26">
        <f t="shared" si="10"/>
        <v>0</v>
      </c>
      <c r="H19" s="26">
        <f t="shared" si="10"/>
        <v>92863.033724999987</v>
      </c>
      <c r="I19" s="26">
        <f t="shared" si="10"/>
        <v>11474.875000000002</v>
      </c>
      <c r="J19" s="26">
        <f t="shared" si="10"/>
        <v>0</v>
      </c>
      <c r="K19" s="26">
        <f t="shared" si="10"/>
        <v>7819.2276283750016</v>
      </c>
      <c r="L19" s="26">
        <f t="shared" si="10"/>
        <v>3796</v>
      </c>
      <c r="M19" s="26">
        <f t="shared" si="10"/>
        <v>69772.93109662499</v>
      </c>
      <c r="N19" s="87"/>
      <c r="O19" s="143"/>
    </row>
    <row r="21" spans="1:19" x14ac:dyDescent="0.2">
      <c r="B21" s="51" t="s">
        <v>26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</row>
  </sheetData>
  <sortState ref="A8:O17">
    <sortCondition ref="B8:B17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27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48</v>
      </c>
      <c r="F2" s="13"/>
      <c r="G2" s="13"/>
      <c r="H2" s="13"/>
      <c r="I2" s="15"/>
      <c r="J2" s="13"/>
      <c r="K2" s="13"/>
      <c r="L2" s="13"/>
      <c r="M2" s="16" t="str">
        <f>PRESIDENCIA!N2</f>
        <v>31 DE JULIO DE 2024</v>
      </c>
    </row>
    <row r="3" spans="1:15" x14ac:dyDescent="0.2">
      <c r="E3" s="43" t="str">
        <f>PRESIDENCIA!E3</f>
        <v>SEGUNDA QUINCENA DE JULIO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18" t="s">
        <v>4</v>
      </c>
      <c r="H5" s="18" t="s">
        <v>29</v>
      </c>
      <c r="I5" s="45" t="s">
        <v>33</v>
      </c>
      <c r="J5" s="112" t="s">
        <v>400</v>
      </c>
      <c r="K5" s="113" t="s">
        <v>496</v>
      </c>
      <c r="L5" s="18" t="s">
        <v>5</v>
      </c>
      <c r="M5" s="17" t="s">
        <v>6</v>
      </c>
      <c r="N5" s="95" t="s">
        <v>365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225</v>
      </c>
      <c r="C7" s="5"/>
      <c r="D7" s="28" t="s">
        <v>49</v>
      </c>
      <c r="E7" s="110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6">
        <v>43374</v>
      </c>
      <c r="O7" s="22"/>
    </row>
    <row r="9" spans="1:15" ht="21.95" customHeight="1" x14ac:dyDescent="0.2">
      <c r="D9" s="25" t="s">
        <v>9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opLeftCell="B1" zoomScale="80" zoomScaleNormal="80" workbookViewId="0">
      <selection activeCell="B21" sqref="B21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37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31 DE JULIO DE 2024</v>
      </c>
      <c r="O2" s="16"/>
      <c r="Q2" s="135"/>
      <c r="R2" s="135"/>
      <c r="S2" s="135"/>
      <c r="T2" s="135"/>
    </row>
    <row r="3" spans="2:25" x14ac:dyDescent="0.2">
      <c r="E3" s="42" t="str">
        <f>PRESIDENCIA!E3</f>
        <v>SEGUNDA QUINCENA DE JULIO DE 2024</v>
      </c>
      <c r="F3" s="61"/>
      <c r="G3" s="61"/>
      <c r="H3" s="13"/>
      <c r="I3" s="13"/>
      <c r="J3" s="43"/>
      <c r="K3" s="13"/>
      <c r="L3" s="13"/>
      <c r="M3" s="13"/>
      <c r="Q3" s="135"/>
      <c r="R3" s="135"/>
      <c r="S3" s="135"/>
      <c r="T3" s="135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  <c r="Q4" s="135"/>
      <c r="R4" s="135"/>
      <c r="S4" s="135"/>
      <c r="T4" s="135"/>
    </row>
    <row r="5" spans="2:25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/>
      <c r="H5" s="18" t="s">
        <v>4</v>
      </c>
      <c r="I5" s="18" t="s">
        <v>29</v>
      </c>
      <c r="J5" s="45" t="s">
        <v>33</v>
      </c>
      <c r="K5" s="112" t="s">
        <v>400</v>
      </c>
      <c r="L5" s="113" t="s">
        <v>496</v>
      </c>
      <c r="M5" s="18" t="s">
        <v>5</v>
      </c>
      <c r="N5" s="17" t="s">
        <v>6</v>
      </c>
      <c r="O5" s="95" t="s">
        <v>365</v>
      </c>
      <c r="Q5" s="151"/>
      <c r="R5" s="135"/>
      <c r="S5" s="135"/>
      <c r="T5" s="135"/>
    </row>
    <row r="6" spans="2:25" ht="24.95" customHeight="1" x14ac:dyDescent="0.2">
      <c r="B6" s="51" t="s">
        <v>226</v>
      </c>
      <c r="C6" s="75"/>
      <c r="D6" s="86" t="s">
        <v>14</v>
      </c>
      <c r="E6" s="111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6">
        <v>43374</v>
      </c>
      <c r="P6" s="24">
        <f>+E6/30.42</f>
        <v>1111.0766074950691</v>
      </c>
      <c r="Q6" s="144"/>
      <c r="R6" s="136"/>
      <c r="S6" s="136"/>
      <c r="T6" s="135"/>
    </row>
    <row r="7" spans="2:25" ht="24.95" customHeight="1" x14ac:dyDescent="0.2">
      <c r="B7" s="51" t="s">
        <v>379</v>
      </c>
      <c r="C7" s="51"/>
      <c r="D7" s="86" t="s">
        <v>380</v>
      </c>
      <c r="E7" s="111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96">
        <v>44531</v>
      </c>
      <c r="P7" s="24">
        <f t="shared" ref="P7:P25" si="6">+E7/30.42</f>
        <v>252.13954635108479</v>
      </c>
      <c r="Q7" s="144"/>
      <c r="R7" s="136"/>
      <c r="S7" s="135"/>
      <c r="T7" s="135"/>
    </row>
    <row r="8" spans="2:25" s="51" customFormat="1" ht="29.25" customHeight="1" x14ac:dyDescent="0.2">
      <c r="B8" t="s">
        <v>328</v>
      </c>
      <c r="C8"/>
      <c r="D8" s="64" t="s">
        <v>247</v>
      </c>
      <c r="E8" s="110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7">+H8*0.115</f>
        <v>441.02988750000003</v>
      </c>
      <c r="L8" s="61"/>
      <c r="M8" s="61">
        <f t="shared" si="5"/>
        <v>3135.3076125000002</v>
      </c>
      <c r="N8" s="74"/>
      <c r="O8" s="96">
        <v>44470</v>
      </c>
      <c r="P8" s="24">
        <f t="shared" si="6"/>
        <v>252.13954635108479</v>
      </c>
      <c r="Q8" s="139"/>
      <c r="R8" s="139"/>
      <c r="S8" s="139"/>
      <c r="T8" s="139"/>
      <c r="U8" s="73"/>
      <c r="V8" s="73"/>
      <c r="W8" s="73"/>
      <c r="X8" s="73"/>
      <c r="Y8" s="73"/>
    </row>
    <row r="9" spans="2:25" ht="24.95" customHeight="1" x14ac:dyDescent="0.2">
      <c r="B9" s="51" t="s">
        <v>353</v>
      </c>
      <c r="C9" s="51"/>
      <c r="D9" s="86" t="s">
        <v>93</v>
      </c>
      <c r="E9" s="111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96">
        <v>43480</v>
      </c>
      <c r="P9" s="24">
        <f t="shared" si="6"/>
        <v>326.05429651545035</v>
      </c>
      <c r="Q9" s="144"/>
      <c r="R9" s="136"/>
      <c r="S9" s="135"/>
      <c r="T9" s="135"/>
    </row>
    <row r="10" spans="2:25" s="51" customFormat="1" ht="26.1" customHeight="1" x14ac:dyDescent="0.2">
      <c r="B10" s="51" t="s">
        <v>123</v>
      </c>
      <c r="C10" s="5"/>
      <c r="D10" s="82" t="s">
        <v>246</v>
      </c>
      <c r="E10" s="110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4"/>
      <c r="O10" s="96">
        <v>43374</v>
      </c>
      <c r="P10" s="24">
        <f t="shared" si="6"/>
        <v>283.54244740302431</v>
      </c>
      <c r="Q10" s="137"/>
      <c r="R10" s="139"/>
      <c r="S10" s="148"/>
      <c r="T10" s="137"/>
    </row>
    <row r="11" spans="2:25" ht="24.95" customHeight="1" x14ac:dyDescent="0.2">
      <c r="B11" t="s">
        <v>398</v>
      </c>
      <c r="C11" s="51"/>
      <c r="D11" s="86" t="s">
        <v>291</v>
      </c>
      <c r="E11" s="111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96">
        <v>44608</v>
      </c>
      <c r="P11" s="24">
        <f t="shared" si="6"/>
        <v>145.55111768573306</v>
      </c>
      <c r="Q11" s="144"/>
      <c r="R11" s="136"/>
      <c r="S11" s="135"/>
      <c r="T11" s="135"/>
    </row>
    <row r="12" spans="2:25" ht="24.95" customHeight="1" x14ac:dyDescent="0.2">
      <c r="B12" s="51" t="s">
        <v>211</v>
      </c>
      <c r="C12" s="75"/>
      <c r="D12" s="62" t="s">
        <v>246</v>
      </c>
      <c r="E12" s="111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96">
        <v>39919</v>
      </c>
      <c r="P12" s="24">
        <f t="shared" si="6"/>
        <v>283.54244740302431</v>
      </c>
      <c r="Q12" s="144"/>
      <c r="R12" s="136"/>
      <c r="S12" s="135"/>
      <c r="T12" s="135"/>
    </row>
    <row r="13" spans="2:25" ht="24.95" customHeight="1" x14ac:dyDescent="0.2">
      <c r="B13" s="51" t="s">
        <v>524</v>
      </c>
      <c r="C13" s="75"/>
      <c r="D13" s="62" t="s">
        <v>525</v>
      </c>
      <c r="E13" s="111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ref="K13" si="8">+H13*0.115</f>
        <v>441.02988750000003</v>
      </c>
      <c r="L13" s="61"/>
      <c r="M13" s="61">
        <f t="shared" ref="M13" si="9">H13-I13+J13-K13-L13</f>
        <v>3135.3076125000002</v>
      </c>
      <c r="N13" s="11"/>
      <c r="O13" s="96">
        <v>45153</v>
      </c>
      <c r="P13" s="24">
        <f t="shared" si="6"/>
        <v>252.13954635108479</v>
      </c>
      <c r="Q13" s="144" t="s">
        <v>549</v>
      </c>
      <c r="R13" s="136"/>
      <c r="S13" s="135"/>
      <c r="T13" s="135"/>
    </row>
    <row r="14" spans="2:25" ht="24.95" customHeight="1" x14ac:dyDescent="0.2">
      <c r="B14" s="51" t="s">
        <v>179</v>
      </c>
      <c r="D14" s="86" t="s">
        <v>349</v>
      </c>
      <c r="E14" s="111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ref="J14" si="10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96">
        <v>43374</v>
      </c>
      <c r="P14" s="24">
        <f t="shared" si="6"/>
        <v>326.05429651545035</v>
      </c>
      <c r="Q14" s="152"/>
      <c r="R14" s="153"/>
      <c r="S14" s="154"/>
      <c r="T14" s="135"/>
    </row>
    <row r="15" spans="2:25" ht="24.95" customHeight="1" x14ac:dyDescent="0.2">
      <c r="B15" s="51" t="s">
        <v>377</v>
      </c>
      <c r="D15" s="86" t="s">
        <v>378</v>
      </c>
      <c r="E15" s="111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96">
        <v>44531</v>
      </c>
      <c r="P15" s="24">
        <f t="shared" si="6"/>
        <v>252.13954635108479</v>
      </c>
      <c r="Q15" s="144"/>
      <c r="R15" s="136"/>
      <c r="S15" s="135"/>
      <c r="T15" s="135"/>
    </row>
    <row r="16" spans="2:25" ht="24.95" customHeight="1" x14ac:dyDescent="0.2">
      <c r="B16" s="51" t="s">
        <v>117</v>
      </c>
      <c r="C16" s="75"/>
      <c r="D16" s="86" t="s">
        <v>50</v>
      </c>
      <c r="E16" s="111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96">
        <v>38047</v>
      </c>
      <c r="P16" s="24">
        <f t="shared" si="6"/>
        <v>335.73265779092696</v>
      </c>
      <c r="Q16" s="135"/>
      <c r="R16" s="136"/>
      <c r="S16" s="135"/>
      <c r="T16" s="135"/>
    </row>
    <row r="17" spans="1:23" s="51" customFormat="1" ht="24.95" customHeight="1" x14ac:dyDescent="0.2">
      <c r="B17" s="51" t="s">
        <v>268</v>
      </c>
      <c r="D17" s="86" t="s">
        <v>468</v>
      </c>
      <c r="E17" s="111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>
        <v>2294</v>
      </c>
      <c r="M17" s="61">
        <f t="shared" si="5"/>
        <v>3130.3835499999996</v>
      </c>
      <c r="N17" s="74"/>
      <c r="O17" s="96">
        <v>44470</v>
      </c>
      <c r="P17" s="24">
        <f t="shared" si="6"/>
        <v>452.41485864562782</v>
      </c>
      <c r="Q17" s="144" t="s">
        <v>549</v>
      </c>
      <c r="R17" s="139"/>
      <c r="S17" s="139"/>
      <c r="T17" s="137"/>
    </row>
    <row r="18" spans="1:23" ht="24.95" customHeight="1" x14ac:dyDescent="0.2">
      <c r="B18" s="51" t="s">
        <v>417</v>
      </c>
      <c r="C18" s="75"/>
      <c r="D18" s="86" t="s">
        <v>93</v>
      </c>
      <c r="E18" s="111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96">
        <v>43480</v>
      </c>
      <c r="P18" s="24">
        <f t="shared" si="6"/>
        <v>326.05429651545035</v>
      </c>
      <c r="Q18" s="136"/>
      <c r="R18" s="135"/>
      <c r="S18" s="135"/>
      <c r="T18" s="135"/>
    </row>
    <row r="19" spans="1:23" ht="24.95" customHeight="1" x14ac:dyDescent="0.2">
      <c r="B19" s="51" t="s">
        <v>461</v>
      </c>
      <c r="C19" s="75"/>
      <c r="D19" s="54" t="s">
        <v>366</v>
      </c>
      <c r="E19" s="110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96">
        <v>44743</v>
      </c>
      <c r="P19" s="24">
        <f t="shared" si="6"/>
        <v>64.107001972386584</v>
      </c>
      <c r="Q19" s="136"/>
      <c r="R19" s="135"/>
      <c r="S19" s="135"/>
      <c r="T19" s="135"/>
    </row>
    <row r="20" spans="1:23" ht="24.95" customHeight="1" x14ac:dyDescent="0.2">
      <c r="B20" s="51" t="s">
        <v>358</v>
      </c>
      <c r="C20" s="75"/>
      <c r="D20" s="86" t="s">
        <v>366</v>
      </c>
      <c r="E20" s="111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96">
        <v>43556</v>
      </c>
      <c r="P20" s="24">
        <f t="shared" si="6"/>
        <v>64.107001972386584</v>
      </c>
      <c r="Q20" s="136"/>
      <c r="R20" s="135"/>
      <c r="S20" s="135"/>
      <c r="T20" s="135"/>
    </row>
    <row r="21" spans="1:23" ht="24.95" customHeight="1" x14ac:dyDescent="0.2">
      <c r="B21" t="s">
        <v>475</v>
      </c>
      <c r="D21" s="89" t="s">
        <v>476</v>
      </c>
      <c r="E21" s="111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96">
        <v>44835</v>
      </c>
      <c r="P21" s="24">
        <f t="shared" si="6"/>
        <v>152.39513477975015</v>
      </c>
      <c r="Q21" s="135"/>
      <c r="R21" s="136"/>
      <c r="S21" s="135"/>
      <c r="T21" s="135"/>
    </row>
    <row r="22" spans="1:23" ht="24.95" customHeight="1" x14ac:dyDescent="0.2">
      <c r="B22" s="51" t="s">
        <v>286</v>
      </c>
      <c r="D22" s="82" t="s">
        <v>246</v>
      </c>
      <c r="E22" s="110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1">+H22*0.115</f>
        <v>495.95827187500004</v>
      </c>
      <c r="L22" s="13"/>
      <c r="M22" s="61">
        <f t="shared" ref="M22:M23" si="12">H22-I22+J22-K22-L22</f>
        <v>3506.0523531250001</v>
      </c>
      <c r="N22" s="11"/>
      <c r="O22" s="96">
        <v>44470</v>
      </c>
      <c r="P22" s="24">
        <f t="shared" si="6"/>
        <v>283.54244740302431</v>
      </c>
      <c r="Q22" s="147"/>
      <c r="R22" s="136"/>
      <c r="S22" s="136"/>
      <c r="T22" s="150"/>
      <c r="U22" s="13"/>
      <c r="V22" s="13"/>
      <c r="W22" s="13"/>
    </row>
    <row r="23" spans="1:23" ht="24.95" customHeight="1" x14ac:dyDescent="0.2">
      <c r="B23" s="51" t="s">
        <v>551</v>
      </c>
      <c r="D23" s="86" t="s">
        <v>530</v>
      </c>
      <c r="E23" s="111">
        <v>5630.97</v>
      </c>
      <c r="F23" s="39">
        <v>32.33</v>
      </c>
      <c r="G23" s="39"/>
      <c r="H23" s="61">
        <f t="shared" si="1"/>
        <v>2815.4850000000001</v>
      </c>
      <c r="I23" s="61">
        <f t="shared" si="2"/>
        <v>16.164999999999999</v>
      </c>
      <c r="J23" s="61">
        <f t="shared" ref="J23" si="13">G23/2</f>
        <v>0</v>
      </c>
      <c r="K23" s="61">
        <f t="shared" si="11"/>
        <v>323.78077500000001</v>
      </c>
      <c r="L23" s="61"/>
      <c r="M23" s="61">
        <f t="shared" si="12"/>
        <v>2475.539225</v>
      </c>
      <c r="N23" s="11"/>
      <c r="O23" s="96">
        <v>45338</v>
      </c>
      <c r="P23" s="24">
        <f t="shared" si="6"/>
        <v>185.10749506903352</v>
      </c>
      <c r="Q23" s="147"/>
      <c r="R23" s="136"/>
      <c r="S23" s="136"/>
      <c r="T23" s="150"/>
      <c r="U23" s="13"/>
      <c r="V23" s="13"/>
      <c r="W23" s="13"/>
    </row>
    <row r="24" spans="1:23" ht="24.95" customHeight="1" x14ac:dyDescent="0.2">
      <c r="A24" s="81"/>
      <c r="B24" s="10" t="s">
        <v>175</v>
      </c>
      <c r="C24" s="48"/>
      <c r="D24" s="54" t="s">
        <v>51</v>
      </c>
      <c r="E24" s="111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4">+H24*0.115</f>
        <v>791.34145000000001</v>
      </c>
      <c r="L24" s="61"/>
      <c r="M24" s="61">
        <f>H24-I24+J24-K24-L24</f>
        <v>5424.3835499999996</v>
      </c>
      <c r="N24" s="11"/>
      <c r="O24" s="96">
        <v>43388</v>
      </c>
      <c r="P24" s="24">
        <f t="shared" si="6"/>
        <v>452.41485864562782</v>
      </c>
      <c r="Q24" s="147"/>
      <c r="R24" s="136"/>
      <c r="S24" s="136"/>
      <c r="T24" s="143"/>
    </row>
    <row r="25" spans="1:23" ht="24.95" customHeight="1" x14ac:dyDescent="0.2">
      <c r="A25" s="81"/>
      <c r="B25" s="10" t="s">
        <v>452</v>
      </c>
      <c r="C25" s="48"/>
      <c r="D25" s="54" t="s">
        <v>453</v>
      </c>
      <c r="E25" s="111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5">+H25*0.115</f>
        <v>570.31787274999999</v>
      </c>
      <c r="L25" s="61"/>
      <c r="M25" s="61">
        <f>H25-I25+J25-K25-L25</f>
        <v>4007.9479772499999</v>
      </c>
      <c r="N25" s="11"/>
      <c r="O25" s="96">
        <v>44715</v>
      </c>
      <c r="P25" s="24">
        <f t="shared" si="6"/>
        <v>326.05429651545035</v>
      </c>
      <c r="Q25" s="147"/>
      <c r="R25" s="136"/>
      <c r="S25" s="136"/>
      <c r="T25" s="143"/>
    </row>
    <row r="26" spans="1:23" ht="21.95" customHeight="1" x14ac:dyDescent="0.2">
      <c r="D26" s="25" t="s">
        <v>9</v>
      </c>
      <c r="E26" s="26">
        <f>SUM(E6:E25)</f>
        <v>186362.3334</v>
      </c>
      <c r="F26" s="26">
        <f>SUM(F6:F25)</f>
        <v>16077.060000000001</v>
      </c>
      <c r="G26" s="26"/>
      <c r="H26" s="26">
        <f t="shared" ref="H26:M26" si="16">SUM(H6:H25)</f>
        <v>93181.166700000002</v>
      </c>
      <c r="I26" s="26">
        <f t="shared" si="16"/>
        <v>8038.5300000000007</v>
      </c>
      <c r="J26" s="26">
        <f t="shared" si="16"/>
        <v>427.19000000000005</v>
      </c>
      <c r="K26" s="26">
        <f t="shared" si="16"/>
        <v>10337.139457999998</v>
      </c>
      <c r="L26" s="26">
        <f t="shared" si="16"/>
        <v>2294</v>
      </c>
      <c r="M26" s="26">
        <f t="shared" si="16"/>
        <v>72938.687242000015</v>
      </c>
      <c r="P26" s="24"/>
      <c r="Q26" s="135"/>
      <c r="R26" s="135"/>
      <c r="S26" s="135"/>
      <c r="T26" s="135"/>
    </row>
    <row r="27" spans="1:23" ht="21.95" customHeight="1" x14ac:dyDescent="0.2">
      <c r="B27" s="10"/>
      <c r="C27" s="10"/>
      <c r="D27" s="3"/>
      <c r="E27" s="7"/>
      <c r="J27" s="7"/>
      <c r="Q27" s="135"/>
      <c r="R27" s="135"/>
      <c r="S27" s="135"/>
      <c r="T27" s="135"/>
    </row>
    <row r="28" spans="1:23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Q30" s="3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O17"/>
  <sheetViews>
    <sheetView topLeftCell="B1" zoomScale="80" zoomScaleNormal="80" workbookViewId="0">
      <selection activeCell="H14" sqref="H14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</cols>
  <sheetData>
    <row r="1" spans="2:15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5" ht="15" x14ac:dyDescent="0.25">
      <c r="E2" s="15" t="s">
        <v>55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31 DE JULIO DE 2024</v>
      </c>
      <c r="O2" s="16"/>
    </row>
    <row r="3" spans="2:15" x14ac:dyDescent="0.2">
      <c r="E3" s="16" t="str">
        <f>PRESIDENCIA!E3</f>
        <v>SEGUNDA QUINCENA DE JULIO DE 2024</v>
      </c>
      <c r="F3" s="61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5" ht="27" customHeight="1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 t="s">
        <v>33</v>
      </c>
      <c r="H5" s="18" t="s">
        <v>4</v>
      </c>
      <c r="I5" s="18" t="s">
        <v>29</v>
      </c>
      <c r="J5" s="45" t="s">
        <v>33</v>
      </c>
      <c r="K5" s="112" t="s">
        <v>400</v>
      </c>
      <c r="L5" s="113" t="s">
        <v>496</v>
      </c>
      <c r="M5" s="18" t="s">
        <v>5</v>
      </c>
      <c r="N5" s="17" t="s">
        <v>6</v>
      </c>
      <c r="O5" s="95" t="s">
        <v>365</v>
      </c>
    </row>
    <row r="6" spans="2:15" ht="24.95" customHeight="1" x14ac:dyDescent="0.2">
      <c r="B6" t="s">
        <v>273</v>
      </c>
      <c r="C6" s="5"/>
      <c r="D6" s="82" t="s">
        <v>12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6">
        <v>44470</v>
      </c>
    </row>
    <row r="7" spans="2:15" ht="24.95" customHeight="1" x14ac:dyDescent="0.2">
      <c r="B7" s="10" t="s">
        <v>121</v>
      </c>
      <c r="C7" s="5"/>
      <c r="D7" s="82" t="s">
        <v>54</v>
      </c>
      <c r="E7" s="111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6">
        <v>43374</v>
      </c>
    </row>
    <row r="8" spans="2:15" ht="24.95" customHeight="1" x14ac:dyDescent="0.2">
      <c r="B8" s="2" t="s">
        <v>120</v>
      </c>
      <c r="C8" s="5"/>
      <c r="D8" s="86" t="s">
        <v>276</v>
      </c>
      <c r="E8" s="111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6">
        <v>43374</v>
      </c>
    </row>
    <row r="9" spans="2:15" ht="24.95" customHeight="1" x14ac:dyDescent="0.2">
      <c r="B9" t="s">
        <v>274</v>
      </c>
      <c r="D9" s="89" t="s">
        <v>275</v>
      </c>
      <c r="E9" s="111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6">
        <v>43846</v>
      </c>
    </row>
    <row r="10" spans="2:15" ht="24.95" customHeight="1" x14ac:dyDescent="0.2">
      <c r="B10" s="2" t="s">
        <v>228</v>
      </c>
      <c r="C10" s="5"/>
      <c r="D10" s="82" t="str">
        <f>D12</f>
        <v>ASESOR</v>
      </c>
      <c r="E10" s="111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6">
        <v>43374</v>
      </c>
    </row>
    <row r="11" spans="2:15" ht="24.95" customHeight="1" x14ac:dyDescent="0.2">
      <c r="B11" s="2" t="s">
        <v>229</v>
      </c>
      <c r="C11" s="5"/>
      <c r="D11" s="82" t="s">
        <v>277</v>
      </c>
      <c r="E11" s="111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6">
        <v>43374</v>
      </c>
    </row>
    <row r="12" spans="2:15" ht="24.95" customHeight="1" x14ac:dyDescent="0.2">
      <c r="B12" s="2" t="s">
        <v>227</v>
      </c>
      <c r="C12" s="51"/>
      <c r="D12" s="64" t="s">
        <v>340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96">
        <v>80994</v>
      </c>
    </row>
    <row r="13" spans="2:15" s="51" customFormat="1" ht="29.25" customHeight="1" x14ac:dyDescent="0.2">
      <c r="B13" s="51" t="s">
        <v>410</v>
      </c>
      <c r="C13" s="75"/>
      <c r="D13" s="106" t="s">
        <v>246</v>
      </c>
      <c r="E13" s="111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4"/>
      <c r="O13" s="96">
        <v>43374</v>
      </c>
    </row>
    <row r="14" spans="2:15" ht="24.95" customHeight="1" x14ac:dyDescent="0.2">
      <c r="B14" s="10" t="s">
        <v>119</v>
      </c>
      <c r="C14" s="5"/>
      <c r="D14" s="82" t="s">
        <v>32</v>
      </c>
      <c r="E14" s="111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96">
        <v>42278</v>
      </c>
    </row>
    <row r="15" spans="2:15" ht="24.95" customHeight="1" x14ac:dyDescent="0.2">
      <c r="B15" s="2" t="s">
        <v>230</v>
      </c>
      <c r="C15" s="5"/>
      <c r="D15" s="82" t="s">
        <v>53</v>
      </c>
      <c r="E15" s="111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6">
        <v>43374</v>
      </c>
    </row>
    <row r="16" spans="2:15" ht="21.95" customHeight="1" x14ac:dyDescent="0.2">
      <c r="D16" s="25" t="s">
        <v>9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S32"/>
  <sheetViews>
    <sheetView topLeftCell="B1" zoomScale="80" zoomScaleNormal="80" workbookViewId="0">
      <selection activeCell="Q1" sqref="Q1:S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50"/>
    <col min="18" max="19" width="11.42578125" style="135"/>
  </cols>
  <sheetData>
    <row r="1" spans="2:1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27</v>
      </c>
    </row>
    <row r="2" spans="2:17" ht="15" x14ac:dyDescent="0.25">
      <c r="E2" s="15" t="s">
        <v>56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31 DE JULIO DE 2024</v>
      </c>
    </row>
    <row r="3" spans="2:17" x14ac:dyDescent="0.2">
      <c r="E3" s="42" t="str">
        <f>PRESIDENCIA!E3</f>
        <v>SEGUNDA QUINCENA DE JULIO DE 2024</v>
      </c>
      <c r="F3" s="13"/>
      <c r="G3" s="13"/>
      <c r="H3" s="13"/>
      <c r="I3" s="13"/>
      <c r="J3" s="43"/>
      <c r="K3" s="13"/>
      <c r="L3" s="13"/>
      <c r="M3" s="13"/>
    </row>
    <row r="4" spans="2:1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7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/>
      <c r="H5" s="18" t="s">
        <v>4</v>
      </c>
      <c r="I5" s="18" t="s">
        <v>29</v>
      </c>
      <c r="J5" s="45" t="s">
        <v>33</v>
      </c>
      <c r="K5" s="112" t="s">
        <v>400</v>
      </c>
      <c r="L5" s="113" t="s">
        <v>496</v>
      </c>
      <c r="M5" s="18" t="s">
        <v>5</v>
      </c>
      <c r="N5" s="17" t="s">
        <v>6</v>
      </c>
      <c r="O5" s="95" t="s">
        <v>365</v>
      </c>
      <c r="Q5" s="143"/>
    </row>
    <row r="6" spans="2:17" x14ac:dyDescent="0.2">
      <c r="B6" s="2"/>
      <c r="E6" s="27"/>
      <c r="F6" s="27"/>
      <c r="G6" s="27"/>
      <c r="H6" s="7"/>
      <c r="I6" s="7"/>
      <c r="J6" s="7"/>
      <c r="M6" s="7"/>
    </row>
    <row r="7" spans="2:17" ht="24.95" customHeight="1" x14ac:dyDescent="0.2">
      <c r="B7" s="2" t="s">
        <v>278</v>
      </c>
      <c r="C7" s="5"/>
      <c r="D7" s="28" t="s">
        <v>279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6">
        <v>80994</v>
      </c>
      <c r="P7" s="81"/>
      <c r="Q7" s="135"/>
    </row>
    <row r="8" spans="2:17" ht="24.95" customHeight="1" x14ac:dyDescent="0.2">
      <c r="B8" s="51" t="s">
        <v>281</v>
      </c>
      <c r="D8" s="62" t="s">
        <v>246</v>
      </c>
      <c r="E8" s="111">
        <v>7735.75</v>
      </c>
      <c r="F8" s="39">
        <v>524.54999999999995</v>
      </c>
      <c r="G8" s="111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6">
        <v>80994</v>
      </c>
      <c r="P8" s="81"/>
      <c r="Q8" s="135"/>
    </row>
    <row r="9" spans="2:17" ht="24.95" customHeight="1" thickBot="1" x14ac:dyDescent="0.25">
      <c r="B9" t="s">
        <v>280</v>
      </c>
      <c r="C9" s="5"/>
      <c r="D9" s="62" t="s">
        <v>246</v>
      </c>
      <c r="E9" s="111">
        <v>7735.75</v>
      </c>
      <c r="F9" s="39">
        <v>524.54999999999995</v>
      </c>
      <c r="G9" s="111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6">
        <v>80994</v>
      </c>
      <c r="P9" s="81"/>
      <c r="Q9" s="135"/>
    </row>
    <row r="10" spans="2:17" ht="24.95" customHeight="1" thickBot="1" x14ac:dyDescent="0.25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 s="155"/>
    </row>
    <row r="12" spans="2:17" ht="21.95" customHeight="1" x14ac:dyDescent="0.2">
      <c r="D12" s="25" t="s">
        <v>9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7" ht="21.95" customHeight="1" x14ac:dyDescent="0.2">
      <c r="B13" s="10"/>
      <c r="C13" s="10"/>
      <c r="D13" s="3"/>
      <c r="E13" s="7"/>
      <c r="J13" s="7"/>
      <c r="O13" s="24"/>
      <c r="Q13" s="143"/>
    </row>
    <row r="14" spans="2:17" x14ac:dyDescent="0.2">
      <c r="B14" s="10"/>
      <c r="C14" s="10"/>
      <c r="D14" s="3"/>
      <c r="E14" s="7"/>
      <c r="J14" s="7"/>
      <c r="Q14" s="143"/>
    </row>
    <row r="15" spans="2:17" x14ac:dyDescent="0.2">
      <c r="B15" s="10"/>
      <c r="C15" s="10"/>
      <c r="D15" s="3"/>
      <c r="E15" s="7"/>
      <c r="J15" s="7"/>
    </row>
    <row r="16" spans="2:17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103"/>
      <c r="L32" s="103"/>
      <c r="M32" s="103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B1" zoomScale="80" zoomScaleNormal="80" workbookViewId="0">
      <selection activeCell="P1" sqref="P1:X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10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2024</v>
      </c>
    </row>
    <row r="3" spans="2:24" x14ac:dyDescent="0.2">
      <c r="E3" s="16" t="str">
        <f>PRESIDENCIA!E3</f>
        <v>SEGUNDA QUINCENA DE JULIO DE 2024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/>
      <c r="H5" s="18" t="s">
        <v>4</v>
      </c>
      <c r="I5" s="18" t="s">
        <v>29</v>
      </c>
      <c r="J5" s="45" t="s">
        <v>33</v>
      </c>
      <c r="K5" s="112" t="s">
        <v>400</v>
      </c>
      <c r="L5" s="113" t="s">
        <v>496</v>
      </c>
      <c r="M5" s="18" t="s">
        <v>5</v>
      </c>
      <c r="N5" s="17" t="s">
        <v>6</v>
      </c>
      <c r="O5" s="37" t="s">
        <v>365</v>
      </c>
      <c r="T5" s="51"/>
    </row>
    <row r="6" spans="2:24" ht="39.75" customHeight="1" x14ac:dyDescent="0.2">
      <c r="B6" s="51" t="s">
        <v>177</v>
      </c>
      <c r="C6" s="5"/>
      <c r="D6" s="82" t="s">
        <v>282</v>
      </c>
      <c r="E6" s="110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6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287</v>
      </c>
      <c r="D7" s="64" t="s">
        <v>359</v>
      </c>
      <c r="E7" s="110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6">
        <v>44470</v>
      </c>
      <c r="Q7" s="13"/>
      <c r="R7" s="13"/>
      <c r="S7" s="53"/>
    </row>
    <row r="8" spans="2:24" ht="36" x14ac:dyDescent="0.2">
      <c r="B8" s="51" t="s">
        <v>180</v>
      </c>
      <c r="D8" s="28" t="s">
        <v>252</v>
      </c>
      <c r="E8" s="110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6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124</v>
      </c>
      <c r="C9" s="5"/>
      <c r="D9" s="82" t="s">
        <v>283</v>
      </c>
      <c r="E9" s="110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6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129</v>
      </c>
      <c r="C10" s="5"/>
      <c r="D10" s="56" t="s">
        <v>61</v>
      </c>
      <c r="E10" s="110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6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125</v>
      </c>
      <c r="C11" s="5"/>
      <c r="D11" s="82" t="s">
        <v>246</v>
      </c>
      <c r="E11" s="110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6">
        <v>43374</v>
      </c>
      <c r="Q11" s="13"/>
      <c r="R11" s="13"/>
      <c r="S11" s="53"/>
    </row>
    <row r="12" spans="2:24" ht="26.1" customHeight="1" x14ac:dyDescent="0.2">
      <c r="B12" s="51" t="s">
        <v>495</v>
      </c>
      <c r="C12" s="5"/>
      <c r="D12" s="82" t="s">
        <v>366</v>
      </c>
      <c r="E12" s="110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6">
        <v>45017</v>
      </c>
      <c r="Q12" s="13"/>
      <c r="R12" s="13"/>
      <c r="S12" s="53"/>
    </row>
    <row r="13" spans="2:24" ht="26.1" customHeight="1" x14ac:dyDescent="0.2">
      <c r="B13" s="51" t="s">
        <v>408</v>
      </c>
      <c r="C13" s="75"/>
      <c r="D13" s="82" t="s">
        <v>252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6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482</v>
      </c>
      <c r="C14" s="75"/>
      <c r="D14" s="82" t="s">
        <v>483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6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126</v>
      </c>
      <c r="C15" s="5"/>
      <c r="D15" s="82" t="s">
        <v>253</v>
      </c>
      <c r="E15" s="110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6">
        <v>43374</v>
      </c>
      <c r="Q15" s="13"/>
      <c r="R15" s="13"/>
      <c r="S15" s="53"/>
    </row>
    <row r="16" spans="2:24" ht="26.1" customHeight="1" x14ac:dyDescent="0.2">
      <c r="B16" s="2" t="s">
        <v>115</v>
      </c>
      <c r="C16" s="5"/>
      <c r="D16" s="83" t="s">
        <v>252</v>
      </c>
      <c r="E16" s="110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6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127</v>
      </c>
      <c r="C17" s="5"/>
      <c r="D17" s="82" t="s">
        <v>58</v>
      </c>
      <c r="E17" s="110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96">
        <v>35065</v>
      </c>
      <c r="Q17" s="13"/>
      <c r="R17" s="61"/>
      <c r="S17" s="53"/>
    </row>
    <row r="18" spans="2:23" ht="26.1" customHeight="1" x14ac:dyDescent="0.2">
      <c r="B18" s="2" t="s">
        <v>116</v>
      </c>
      <c r="C18" s="5"/>
      <c r="D18" s="86" t="s">
        <v>484</v>
      </c>
      <c r="E18" s="110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6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284</v>
      </c>
      <c r="D19" s="83" t="s">
        <v>252</v>
      </c>
      <c r="E19" s="110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6">
        <v>43843</v>
      </c>
      <c r="Q19" s="13"/>
      <c r="R19" s="13"/>
      <c r="S19" s="53"/>
    </row>
    <row r="20" spans="2:23" ht="26.1" customHeight="1" x14ac:dyDescent="0.2">
      <c r="B20" t="s">
        <v>285</v>
      </c>
      <c r="D20" t="s">
        <v>413</v>
      </c>
      <c r="E20" s="110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6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9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81"/>
    </row>
    <row r="22" spans="2:23" ht="21.95" customHeight="1" x14ac:dyDescent="0.2">
      <c r="O22" s="81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O76"/>
  <sheetViews>
    <sheetView topLeftCell="B46" zoomScale="80" zoomScaleNormal="80" workbookViewId="0">
      <selection activeCell="P1" sqref="P1:AA104857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5" ht="15" x14ac:dyDescent="0.25">
      <c r="E2" s="15" t="s">
        <v>60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31 DE JULIO DE 2024</v>
      </c>
      <c r="O2" s="16"/>
    </row>
    <row r="3" spans="2:15" x14ac:dyDescent="0.2">
      <c r="E3" s="16" t="str">
        <f>PRESIDENCIA!E3</f>
        <v>SEGUNDA QUINCENA DE JULIO DE 2024</v>
      </c>
      <c r="F3" s="13"/>
      <c r="G3" s="13"/>
      <c r="H3" s="13"/>
      <c r="I3" s="13"/>
      <c r="J3" s="13"/>
      <c r="K3" s="13"/>
      <c r="L3" s="13"/>
      <c r="M3" s="13"/>
    </row>
    <row r="4" spans="2:15" ht="25.5" x14ac:dyDescent="0.2">
      <c r="B4" s="17" t="s">
        <v>3</v>
      </c>
      <c r="C4" s="17"/>
      <c r="D4" s="17" t="s">
        <v>11</v>
      </c>
      <c r="E4" s="44" t="s">
        <v>4</v>
      </c>
      <c r="F4" s="44" t="s">
        <v>29</v>
      </c>
      <c r="G4" s="38" t="s">
        <v>33</v>
      </c>
      <c r="H4" s="18" t="s">
        <v>4</v>
      </c>
      <c r="I4" s="18" t="s">
        <v>29</v>
      </c>
      <c r="J4" s="19" t="s">
        <v>33</v>
      </c>
      <c r="K4" s="102" t="s">
        <v>400</v>
      </c>
      <c r="L4" s="113" t="s">
        <v>496</v>
      </c>
      <c r="M4" s="18" t="s">
        <v>5</v>
      </c>
      <c r="N4" s="17" t="s">
        <v>6</v>
      </c>
      <c r="O4" s="37" t="s">
        <v>365</v>
      </c>
    </row>
    <row r="5" spans="2:15" ht="36" x14ac:dyDescent="0.2">
      <c r="B5" s="51" t="s">
        <v>112</v>
      </c>
      <c r="C5" s="2"/>
      <c r="D5" s="82" t="s">
        <v>294</v>
      </c>
      <c r="E5" s="110">
        <v>26523.14055</v>
      </c>
      <c r="F5" s="39">
        <v>3997.35</v>
      </c>
      <c r="G5" s="39"/>
      <c r="H5" s="7">
        <f t="shared" ref="H5" si="0">+E5/2</f>
        <v>13261.570275</v>
      </c>
      <c r="I5" s="7">
        <f t="shared" ref="I5" si="1">+F5/2</f>
        <v>1998.675</v>
      </c>
      <c r="J5" s="7">
        <f t="shared" ref="J5" si="2">+G5/2</f>
        <v>0</v>
      </c>
      <c r="K5" s="21">
        <f t="shared" ref="K5:K9" si="3">+H5*0.115</f>
        <v>1525.0805816250001</v>
      </c>
      <c r="L5" s="21"/>
      <c r="M5" s="7">
        <f t="shared" ref="M5:M26" si="4">H5-I5+J5-K5-L5</f>
        <v>9737.8146933750013</v>
      </c>
      <c r="N5" s="11"/>
      <c r="O5" s="142">
        <v>43374</v>
      </c>
    </row>
    <row r="6" spans="2:15" ht="24.95" customHeight="1" x14ac:dyDescent="0.2">
      <c r="B6" s="10" t="s">
        <v>249</v>
      </c>
      <c r="C6" s="48"/>
      <c r="D6" s="54" t="s">
        <v>64</v>
      </c>
      <c r="E6" s="110">
        <v>15747.457200000001</v>
      </c>
      <c r="F6" s="39">
        <v>1695.66</v>
      </c>
      <c r="G6" s="39"/>
      <c r="H6" s="7">
        <f t="shared" ref="H6:H68" si="5">+E6/2</f>
        <v>7873.7286000000004</v>
      </c>
      <c r="I6" s="7">
        <f t="shared" ref="I6:I68" si="6">+F6/2</f>
        <v>847.83</v>
      </c>
      <c r="J6" s="7">
        <f t="shared" ref="J6:J68" si="7">+G6/2</f>
        <v>0</v>
      </c>
      <c r="K6" s="21">
        <f t="shared" si="3"/>
        <v>905.47878900000012</v>
      </c>
      <c r="L6" s="21"/>
      <c r="M6" s="7">
        <f t="shared" si="4"/>
        <v>6120.4198110000007</v>
      </c>
      <c r="N6" s="11"/>
      <c r="O6" s="144">
        <v>38384</v>
      </c>
    </row>
    <row r="7" spans="2:15" ht="24.95" customHeight="1" x14ac:dyDescent="0.2">
      <c r="B7" t="s">
        <v>296</v>
      </c>
      <c r="D7" s="54" t="s">
        <v>237</v>
      </c>
      <c r="E7" s="110">
        <v>8625.3612499999999</v>
      </c>
      <c r="F7" s="39">
        <v>621.34</v>
      </c>
      <c r="G7" s="39"/>
      <c r="H7" s="7">
        <f t="shared" si="5"/>
        <v>4312.680625</v>
      </c>
      <c r="I7" s="7">
        <f t="shared" si="6"/>
        <v>310.67</v>
      </c>
      <c r="J7" s="7">
        <f t="shared" si="7"/>
        <v>0</v>
      </c>
      <c r="K7" s="21">
        <f t="shared" si="3"/>
        <v>495.95827187500004</v>
      </c>
      <c r="L7" s="21"/>
      <c r="M7" s="7">
        <f t="shared" si="4"/>
        <v>3506.0523531250001</v>
      </c>
      <c r="N7" s="11"/>
      <c r="O7" s="156">
        <v>43511</v>
      </c>
    </row>
    <row r="8" spans="2:15" ht="24.95" customHeight="1" x14ac:dyDescent="0.2">
      <c r="B8" s="51" t="s">
        <v>478</v>
      </c>
      <c r="D8" s="106" t="s">
        <v>291</v>
      </c>
      <c r="E8" s="110">
        <v>4427.665</v>
      </c>
      <c r="F8" s="39"/>
      <c r="G8" s="39">
        <v>132.52000000000001</v>
      </c>
      <c r="H8" s="7">
        <f t="shared" si="5"/>
        <v>2213.8325</v>
      </c>
      <c r="I8" s="7">
        <f t="shared" si="6"/>
        <v>0</v>
      </c>
      <c r="J8" s="7">
        <f t="shared" si="7"/>
        <v>66.260000000000005</v>
      </c>
      <c r="K8" s="21">
        <f t="shared" si="3"/>
        <v>254.59073750000002</v>
      </c>
      <c r="L8" s="21"/>
      <c r="M8" s="7">
        <f t="shared" si="4"/>
        <v>2025.5017625000003</v>
      </c>
      <c r="N8" s="11"/>
      <c r="O8" s="156">
        <v>44927</v>
      </c>
    </row>
    <row r="9" spans="2:15" ht="24.95" customHeight="1" x14ac:dyDescent="0.2">
      <c r="B9" t="s">
        <v>306</v>
      </c>
      <c r="C9" s="83"/>
      <c r="D9" s="106" t="s">
        <v>393</v>
      </c>
      <c r="E9" s="110">
        <v>15180.3236</v>
      </c>
      <c r="F9" s="39">
        <v>1585.09</v>
      </c>
      <c r="G9" s="39"/>
      <c r="H9" s="7">
        <f t="shared" si="5"/>
        <v>7590.1617999999999</v>
      </c>
      <c r="I9" s="7">
        <f t="shared" si="6"/>
        <v>792.54499999999996</v>
      </c>
      <c r="J9" s="7">
        <f t="shared" si="7"/>
        <v>0</v>
      </c>
      <c r="K9" s="21">
        <f t="shared" si="3"/>
        <v>872.868607</v>
      </c>
      <c r="L9" s="21">
        <v>1085</v>
      </c>
      <c r="M9" s="7">
        <f t="shared" si="4"/>
        <v>4839.7481929999994</v>
      </c>
      <c r="N9" s="11"/>
      <c r="O9" s="146">
        <v>43481</v>
      </c>
    </row>
    <row r="10" spans="2:15" ht="24.95" customHeight="1" x14ac:dyDescent="0.2">
      <c r="B10" t="s">
        <v>456</v>
      </c>
      <c r="C10" s="83"/>
      <c r="D10" s="54" t="s">
        <v>455</v>
      </c>
      <c r="E10" s="110">
        <v>3161.72</v>
      </c>
      <c r="F10" s="39"/>
      <c r="G10" s="39">
        <v>237.7</v>
      </c>
      <c r="H10" s="7">
        <f t="shared" si="5"/>
        <v>1580.86</v>
      </c>
      <c r="I10" s="7">
        <f t="shared" si="6"/>
        <v>0</v>
      </c>
      <c r="J10" s="7">
        <f t="shared" si="7"/>
        <v>118.85</v>
      </c>
      <c r="K10" s="21"/>
      <c r="L10" s="21"/>
      <c r="M10" s="7">
        <f t="shared" si="4"/>
        <v>1699.7099999999998</v>
      </c>
      <c r="N10" s="11"/>
      <c r="O10" s="146">
        <v>44713</v>
      </c>
    </row>
    <row r="11" spans="2:15" ht="24.95" customHeight="1" x14ac:dyDescent="0.2">
      <c r="B11" s="10" t="s">
        <v>161</v>
      </c>
      <c r="C11" s="51"/>
      <c r="D11" s="106" t="s">
        <v>361</v>
      </c>
      <c r="E11" s="110">
        <v>11980.9426</v>
      </c>
      <c r="F11" s="39">
        <v>1030.0999999999999</v>
      </c>
      <c r="G11" s="39"/>
      <c r="H11" s="7">
        <f t="shared" si="5"/>
        <v>5990.4713000000002</v>
      </c>
      <c r="I11" s="7">
        <f t="shared" si="6"/>
        <v>515.04999999999995</v>
      </c>
      <c r="J11" s="7">
        <f t="shared" si="7"/>
        <v>0</v>
      </c>
      <c r="K11" s="21">
        <f t="shared" ref="K11:K19" si="8">+H11*0.115</f>
        <v>688.9041995</v>
      </c>
      <c r="L11" s="21"/>
      <c r="M11" s="7">
        <f t="shared" si="4"/>
        <v>4786.5171005000002</v>
      </c>
      <c r="N11" s="11"/>
      <c r="O11" s="144">
        <v>41183</v>
      </c>
    </row>
    <row r="12" spans="2:15" ht="24.95" customHeight="1" x14ac:dyDescent="0.2">
      <c r="B12" s="2" t="s">
        <v>153</v>
      </c>
      <c r="C12" s="2"/>
      <c r="D12" s="54" t="s">
        <v>70</v>
      </c>
      <c r="E12" s="110">
        <v>8625.3612499999999</v>
      </c>
      <c r="F12" s="39">
        <v>621.34</v>
      </c>
      <c r="G12" s="39"/>
      <c r="H12" s="7">
        <f t="shared" si="5"/>
        <v>4312.680625</v>
      </c>
      <c r="I12" s="7">
        <f t="shared" si="6"/>
        <v>310.67</v>
      </c>
      <c r="J12" s="7">
        <f t="shared" si="7"/>
        <v>0</v>
      </c>
      <c r="K12" s="21">
        <f t="shared" si="8"/>
        <v>495.95827187500004</v>
      </c>
      <c r="L12" s="21"/>
      <c r="M12" s="7">
        <f t="shared" si="4"/>
        <v>3506.0523531250001</v>
      </c>
      <c r="N12" s="11"/>
      <c r="O12" s="142">
        <v>36312</v>
      </c>
    </row>
    <row r="13" spans="2:15" ht="24.95" customHeight="1" x14ac:dyDescent="0.2">
      <c r="B13" s="10" t="s">
        <v>355</v>
      </c>
      <c r="C13" s="48"/>
      <c r="D13" s="54" t="s">
        <v>455</v>
      </c>
      <c r="E13" s="110">
        <v>3161.72</v>
      </c>
      <c r="F13" s="39"/>
      <c r="G13" s="39">
        <v>237.7</v>
      </c>
      <c r="H13" s="7">
        <f t="shared" si="5"/>
        <v>1580.86</v>
      </c>
      <c r="I13" s="7">
        <f t="shared" si="6"/>
        <v>0</v>
      </c>
      <c r="J13" s="7">
        <f t="shared" si="7"/>
        <v>118.85</v>
      </c>
      <c r="K13" s="21">
        <f t="shared" si="8"/>
        <v>181.7989</v>
      </c>
      <c r="L13" s="21"/>
      <c r="M13" s="7">
        <f t="shared" si="4"/>
        <v>1517.9110999999998</v>
      </c>
      <c r="N13" s="11"/>
      <c r="O13" s="144">
        <v>43739</v>
      </c>
    </row>
    <row r="14" spans="2:15" ht="24.95" customHeight="1" x14ac:dyDescent="0.2">
      <c r="B14" s="10" t="s">
        <v>174</v>
      </c>
      <c r="C14" s="48"/>
      <c r="D14" s="54" t="s">
        <v>93</v>
      </c>
      <c r="E14" s="110">
        <v>9918.5717000000004</v>
      </c>
      <c r="F14" s="39">
        <v>762.04</v>
      </c>
      <c r="G14" s="39"/>
      <c r="H14" s="7">
        <f t="shared" si="5"/>
        <v>4959.2858500000002</v>
      </c>
      <c r="I14" s="7">
        <f t="shared" si="6"/>
        <v>381.02</v>
      </c>
      <c r="J14" s="7">
        <f t="shared" si="7"/>
        <v>0</v>
      </c>
      <c r="K14" s="21">
        <f t="shared" si="8"/>
        <v>570.31787274999999</v>
      </c>
      <c r="L14" s="21">
        <v>543</v>
      </c>
      <c r="M14" s="7">
        <f t="shared" si="4"/>
        <v>3464.9479772499999</v>
      </c>
      <c r="N14" s="11"/>
      <c r="O14" s="144">
        <v>43388</v>
      </c>
    </row>
    <row r="15" spans="2:15" ht="24.95" customHeight="1" x14ac:dyDescent="0.2">
      <c r="B15" s="10" t="s">
        <v>165</v>
      </c>
      <c r="C15" s="48"/>
      <c r="D15" s="54" t="s">
        <v>15</v>
      </c>
      <c r="E15" s="110">
        <v>2787.5</v>
      </c>
      <c r="F15" s="39"/>
      <c r="G15" s="39">
        <v>261.64999999999998</v>
      </c>
      <c r="H15" s="7">
        <f t="shared" si="5"/>
        <v>1393.75</v>
      </c>
      <c r="I15" s="7">
        <f t="shared" si="6"/>
        <v>0</v>
      </c>
      <c r="J15" s="7">
        <f t="shared" si="7"/>
        <v>130.82499999999999</v>
      </c>
      <c r="K15" s="21">
        <f t="shared" si="8"/>
        <v>160.28125</v>
      </c>
      <c r="L15" s="21"/>
      <c r="M15" s="7">
        <f t="shared" si="4"/>
        <v>1364.29375</v>
      </c>
      <c r="N15" s="11"/>
      <c r="O15" s="144">
        <v>36938</v>
      </c>
    </row>
    <row r="16" spans="2:15" ht="24.95" customHeight="1" x14ac:dyDescent="0.2">
      <c r="B16" s="10" t="s">
        <v>356</v>
      </c>
      <c r="C16" s="83"/>
      <c r="D16" s="106" t="s">
        <v>291</v>
      </c>
      <c r="E16" s="110">
        <v>4427.665</v>
      </c>
      <c r="F16" s="39"/>
      <c r="G16" s="39">
        <v>132.52000000000001</v>
      </c>
      <c r="H16" s="7">
        <f t="shared" si="5"/>
        <v>2213.8325</v>
      </c>
      <c r="I16" s="7">
        <f t="shared" si="6"/>
        <v>0</v>
      </c>
      <c r="J16" s="7">
        <f t="shared" si="7"/>
        <v>66.260000000000005</v>
      </c>
      <c r="K16" s="21">
        <f t="shared" si="8"/>
        <v>254.59073750000002</v>
      </c>
      <c r="L16" s="21"/>
      <c r="M16" s="7">
        <f t="shared" si="4"/>
        <v>2025.5017625000003</v>
      </c>
      <c r="N16" s="11"/>
      <c r="O16" s="144">
        <v>43973</v>
      </c>
    </row>
    <row r="17" spans="2:15" ht="24.95" customHeight="1" x14ac:dyDescent="0.2">
      <c r="B17" t="s">
        <v>292</v>
      </c>
      <c r="D17" s="106" t="s">
        <v>293</v>
      </c>
      <c r="E17" s="110">
        <v>7670.085</v>
      </c>
      <c r="F17" s="39">
        <v>517.41</v>
      </c>
      <c r="G17" s="39"/>
      <c r="H17" s="7">
        <f t="shared" si="5"/>
        <v>3835.0425</v>
      </c>
      <c r="I17" s="7">
        <f t="shared" si="6"/>
        <v>258.70499999999998</v>
      </c>
      <c r="J17" s="7">
        <f t="shared" si="7"/>
        <v>0</v>
      </c>
      <c r="K17" s="21">
        <f t="shared" si="8"/>
        <v>441.02988750000003</v>
      </c>
      <c r="L17" s="21"/>
      <c r="M17" s="7">
        <f t="shared" si="4"/>
        <v>3135.3076125000002</v>
      </c>
      <c r="N17" s="11"/>
      <c r="O17" s="146">
        <v>44204</v>
      </c>
    </row>
    <row r="18" spans="2:15" ht="24.95" customHeight="1" x14ac:dyDescent="0.2">
      <c r="B18" s="10" t="s">
        <v>521</v>
      </c>
      <c r="D18" s="54" t="s">
        <v>291</v>
      </c>
      <c r="E18" s="110">
        <v>4427.665</v>
      </c>
      <c r="F18" s="39"/>
      <c r="G18" s="39">
        <v>132.52000000000001</v>
      </c>
      <c r="H18" s="7">
        <f t="shared" si="5"/>
        <v>2213.8325</v>
      </c>
      <c r="I18" s="7">
        <f t="shared" si="6"/>
        <v>0</v>
      </c>
      <c r="J18" s="7">
        <f t="shared" si="7"/>
        <v>66.260000000000005</v>
      </c>
      <c r="K18" s="21">
        <f t="shared" si="8"/>
        <v>254.59073750000002</v>
      </c>
      <c r="L18" s="21"/>
      <c r="M18" s="7">
        <f t="shared" si="4"/>
        <v>2025.5017625000003</v>
      </c>
      <c r="N18" s="11"/>
      <c r="O18" s="146">
        <v>45136</v>
      </c>
    </row>
    <row r="19" spans="2:15" ht="24.95" customHeight="1" x14ac:dyDescent="0.2">
      <c r="B19" s="2" t="s">
        <v>144</v>
      </c>
      <c r="C19" s="5"/>
      <c r="D19" s="54" t="s">
        <v>66</v>
      </c>
      <c r="E19" s="110">
        <v>6445.7480999999998</v>
      </c>
      <c r="F19" s="39">
        <v>130.66</v>
      </c>
      <c r="G19" s="39"/>
      <c r="H19" s="7">
        <f t="shared" si="5"/>
        <v>3222.8740499999999</v>
      </c>
      <c r="I19" s="7">
        <f t="shared" si="6"/>
        <v>65.33</v>
      </c>
      <c r="J19" s="7">
        <f t="shared" si="7"/>
        <v>0</v>
      </c>
      <c r="K19" s="21">
        <f t="shared" si="8"/>
        <v>370.63051575000003</v>
      </c>
      <c r="L19" s="21"/>
      <c r="M19" s="7">
        <f t="shared" si="4"/>
        <v>2786.9135342499999</v>
      </c>
      <c r="N19" s="11"/>
      <c r="O19" s="144">
        <v>43374</v>
      </c>
    </row>
    <row r="20" spans="2:15" ht="24.95" customHeight="1" x14ac:dyDescent="0.2">
      <c r="B20" s="2" t="s">
        <v>454</v>
      </c>
      <c r="C20" s="5"/>
      <c r="D20" s="54" t="s">
        <v>455</v>
      </c>
      <c r="E20" s="110">
        <v>3161.72</v>
      </c>
      <c r="F20" s="39"/>
      <c r="G20" s="39">
        <v>237.7</v>
      </c>
      <c r="H20" s="7">
        <f t="shared" si="5"/>
        <v>1580.86</v>
      </c>
      <c r="I20" s="7">
        <f t="shared" si="6"/>
        <v>0</v>
      </c>
      <c r="J20" s="7">
        <f t="shared" si="7"/>
        <v>118.85</v>
      </c>
      <c r="K20" s="21"/>
      <c r="L20" s="21"/>
      <c r="M20" s="7">
        <f t="shared" si="4"/>
        <v>1699.7099999999998</v>
      </c>
      <c r="N20" s="11"/>
      <c r="O20" s="144">
        <v>44713</v>
      </c>
    </row>
    <row r="21" spans="2:15" ht="24.95" customHeight="1" x14ac:dyDescent="0.2">
      <c r="B21" s="10" t="s">
        <v>173</v>
      </c>
      <c r="C21" s="48"/>
      <c r="D21" s="54" t="s">
        <v>99</v>
      </c>
      <c r="E21" s="110">
        <v>7670.085</v>
      </c>
      <c r="F21" s="39">
        <v>517.41</v>
      </c>
      <c r="G21" s="39"/>
      <c r="H21" s="7">
        <f t="shared" si="5"/>
        <v>3835.0425</v>
      </c>
      <c r="I21" s="7">
        <f t="shared" si="6"/>
        <v>258.70499999999998</v>
      </c>
      <c r="J21" s="7">
        <f t="shared" si="7"/>
        <v>0</v>
      </c>
      <c r="K21" s="21">
        <f t="shared" ref="K21:K47" si="9">+H21*0.115</f>
        <v>441.02988750000003</v>
      </c>
      <c r="L21" s="21"/>
      <c r="M21" s="7">
        <f t="shared" si="4"/>
        <v>3135.3076125000002</v>
      </c>
      <c r="N21" s="11"/>
      <c r="O21" s="144">
        <v>43381</v>
      </c>
    </row>
    <row r="22" spans="2:15" ht="24.95" customHeight="1" x14ac:dyDescent="0.2">
      <c r="B22" s="10" t="s">
        <v>529</v>
      </c>
      <c r="C22" s="48"/>
      <c r="D22" s="54" t="s">
        <v>20</v>
      </c>
      <c r="E22" s="110">
        <v>7670.085</v>
      </c>
      <c r="F22" s="39">
        <v>517.41</v>
      </c>
      <c r="G22" s="39"/>
      <c r="H22" s="7">
        <f t="shared" si="5"/>
        <v>3835.0425</v>
      </c>
      <c r="I22" s="7">
        <f t="shared" si="6"/>
        <v>258.70499999999998</v>
      </c>
      <c r="J22" s="7">
        <f t="shared" si="7"/>
        <v>0</v>
      </c>
      <c r="K22" s="21">
        <f t="shared" ref="K22" si="10">+H22*0.115</f>
        <v>441.02988750000003</v>
      </c>
      <c r="L22" s="21"/>
      <c r="M22" s="7">
        <f t="shared" ref="M22" si="11">H22-I22+J22-K22-L22</f>
        <v>3135.3076125000002</v>
      </c>
      <c r="N22" s="11"/>
      <c r="O22" s="144">
        <v>45170</v>
      </c>
    </row>
    <row r="23" spans="2:15" ht="24.95" customHeight="1" x14ac:dyDescent="0.2">
      <c r="B23" t="s">
        <v>345</v>
      </c>
      <c r="D23" s="54" t="s">
        <v>93</v>
      </c>
      <c r="E23" s="110">
        <v>9918.5717000000004</v>
      </c>
      <c r="F23" s="39">
        <v>762.04</v>
      </c>
      <c r="G23" s="39"/>
      <c r="H23" s="7">
        <f t="shared" si="5"/>
        <v>4959.2858500000002</v>
      </c>
      <c r="I23" s="7">
        <f t="shared" si="6"/>
        <v>381.02</v>
      </c>
      <c r="J23" s="7">
        <f t="shared" si="7"/>
        <v>0</v>
      </c>
      <c r="K23" s="21">
        <f t="shared" si="9"/>
        <v>570.31787274999999</v>
      </c>
      <c r="L23" s="21"/>
      <c r="M23" s="7">
        <f t="shared" si="4"/>
        <v>4007.9479772499999</v>
      </c>
      <c r="N23" s="11"/>
      <c r="O23" s="149">
        <v>43511</v>
      </c>
    </row>
    <row r="24" spans="2:15" ht="24.95" customHeight="1" x14ac:dyDescent="0.2">
      <c r="B24" s="10" t="s">
        <v>386</v>
      </c>
      <c r="C24" s="48"/>
      <c r="D24" s="106" t="s">
        <v>390</v>
      </c>
      <c r="E24" s="110">
        <v>13478.889350000001</v>
      </c>
      <c r="F24" s="39">
        <v>1280.2</v>
      </c>
      <c r="G24" s="39"/>
      <c r="H24" s="7">
        <f t="shared" si="5"/>
        <v>6739.4446750000006</v>
      </c>
      <c r="I24" s="7">
        <f t="shared" si="6"/>
        <v>640.1</v>
      </c>
      <c r="J24" s="7">
        <f t="shared" si="7"/>
        <v>0</v>
      </c>
      <c r="K24" s="21">
        <f t="shared" si="9"/>
        <v>775.03613762500015</v>
      </c>
      <c r="L24" s="21"/>
      <c r="M24" s="7">
        <f t="shared" si="4"/>
        <v>5324.308537375</v>
      </c>
      <c r="N24" s="11"/>
      <c r="O24" s="142">
        <v>44470</v>
      </c>
    </row>
    <row r="25" spans="2:15" ht="24.95" customHeight="1" x14ac:dyDescent="0.2">
      <c r="B25" s="2" t="s">
        <v>132</v>
      </c>
      <c r="C25" s="5"/>
      <c r="D25" s="54" t="s">
        <v>63</v>
      </c>
      <c r="E25" s="110">
        <v>8559.5316500000008</v>
      </c>
      <c r="F25" s="39">
        <v>614.17999999999995</v>
      </c>
      <c r="G25" s="39"/>
      <c r="H25" s="7">
        <f t="shared" si="5"/>
        <v>4279.7658250000004</v>
      </c>
      <c r="I25" s="7">
        <f t="shared" si="6"/>
        <v>307.08999999999997</v>
      </c>
      <c r="J25" s="7">
        <f t="shared" si="7"/>
        <v>0</v>
      </c>
      <c r="K25" s="21">
        <f t="shared" si="9"/>
        <v>492.17306987500007</v>
      </c>
      <c r="L25" s="21">
        <v>816</v>
      </c>
      <c r="M25" s="7">
        <f t="shared" si="4"/>
        <v>2664.502755125</v>
      </c>
      <c r="N25" s="11"/>
      <c r="O25" s="144">
        <v>38353</v>
      </c>
    </row>
    <row r="26" spans="2:15" ht="24.95" customHeight="1" x14ac:dyDescent="0.2">
      <c r="B26" s="10" t="s">
        <v>520</v>
      </c>
      <c r="C26" s="48"/>
      <c r="D26" s="54" t="s">
        <v>291</v>
      </c>
      <c r="E26" s="110">
        <v>4427.665</v>
      </c>
      <c r="F26" s="39"/>
      <c r="G26" s="39">
        <v>132.52000000000001</v>
      </c>
      <c r="H26" s="7">
        <f t="shared" si="5"/>
        <v>2213.8325</v>
      </c>
      <c r="I26" s="7">
        <f t="shared" si="6"/>
        <v>0</v>
      </c>
      <c r="J26" s="7">
        <f t="shared" si="7"/>
        <v>66.260000000000005</v>
      </c>
      <c r="K26" s="21">
        <f t="shared" si="9"/>
        <v>254.59073750000002</v>
      </c>
      <c r="L26" s="21"/>
      <c r="M26" s="7">
        <f t="shared" si="4"/>
        <v>2025.5017625000003</v>
      </c>
      <c r="N26" s="11"/>
      <c r="O26" s="146">
        <v>45136</v>
      </c>
    </row>
    <row r="27" spans="2:15" ht="24.95" customHeight="1" x14ac:dyDescent="0.2">
      <c r="B27" s="2" t="s">
        <v>412</v>
      </c>
      <c r="C27" s="2"/>
      <c r="D27" s="54" t="s">
        <v>289</v>
      </c>
      <c r="E27" s="111">
        <v>13762.45615</v>
      </c>
      <c r="F27" s="39">
        <v>1331.01</v>
      </c>
      <c r="G27" s="39"/>
      <c r="H27" s="7">
        <f t="shared" si="5"/>
        <v>6881.228075</v>
      </c>
      <c r="I27" s="7">
        <f t="shared" si="6"/>
        <v>665.505</v>
      </c>
      <c r="J27" s="7">
        <f t="shared" si="7"/>
        <v>0</v>
      </c>
      <c r="K27" s="21">
        <f t="shared" si="9"/>
        <v>791.34122862499999</v>
      </c>
      <c r="L27" s="7">
        <v>847</v>
      </c>
      <c r="M27" s="91">
        <f>+H27-I27+J27-K27-L27</f>
        <v>4577.3818463749994</v>
      </c>
      <c r="N27" s="11"/>
      <c r="O27" s="144">
        <v>44636</v>
      </c>
    </row>
    <row r="28" spans="2:15" ht="24.95" customHeight="1" x14ac:dyDescent="0.2">
      <c r="B28" s="2" t="s">
        <v>526</v>
      </c>
      <c r="C28" s="2"/>
      <c r="D28" s="54" t="s">
        <v>20</v>
      </c>
      <c r="E28" s="110">
        <v>7670.085</v>
      </c>
      <c r="F28" s="39">
        <v>517.41</v>
      </c>
      <c r="G28" s="39"/>
      <c r="H28" s="7">
        <f t="shared" si="5"/>
        <v>3835.0425</v>
      </c>
      <c r="I28" s="7">
        <f t="shared" si="6"/>
        <v>258.70499999999998</v>
      </c>
      <c r="J28" s="7">
        <f t="shared" si="7"/>
        <v>0</v>
      </c>
      <c r="K28" s="21">
        <f t="shared" si="9"/>
        <v>441.02988750000003</v>
      </c>
      <c r="L28" s="21"/>
      <c r="M28" s="7">
        <f t="shared" ref="M28:M51" si="12">H28-I28+J28-K28-L28</f>
        <v>3135.3076125000002</v>
      </c>
      <c r="N28" s="11"/>
      <c r="O28" s="144">
        <v>45154</v>
      </c>
    </row>
    <row r="29" spans="2:15" ht="24.95" customHeight="1" x14ac:dyDescent="0.2">
      <c r="B29" s="2" t="s">
        <v>519</v>
      </c>
      <c r="C29" s="2"/>
      <c r="D29" s="54" t="s">
        <v>291</v>
      </c>
      <c r="E29" s="110">
        <v>4427.665</v>
      </c>
      <c r="F29" s="39"/>
      <c r="G29" s="39">
        <v>132.52000000000001</v>
      </c>
      <c r="H29" s="7">
        <f t="shared" si="5"/>
        <v>2213.8325</v>
      </c>
      <c r="I29" s="7">
        <f t="shared" si="6"/>
        <v>0</v>
      </c>
      <c r="J29" s="7">
        <f t="shared" si="7"/>
        <v>66.260000000000005</v>
      </c>
      <c r="K29" s="21">
        <f t="shared" si="9"/>
        <v>254.59073750000002</v>
      </c>
      <c r="L29" s="21"/>
      <c r="M29" s="7">
        <f t="shared" si="12"/>
        <v>2025.5017625000003</v>
      </c>
      <c r="N29" s="11"/>
      <c r="O29" s="146">
        <v>45136</v>
      </c>
    </row>
    <row r="30" spans="2:15" ht="24.95" customHeight="1" x14ac:dyDescent="0.2">
      <c r="B30" s="10" t="s">
        <v>145</v>
      </c>
      <c r="C30" s="48"/>
      <c r="D30" s="54" t="s">
        <v>93</v>
      </c>
      <c r="E30" s="110">
        <v>9918.5717000000004</v>
      </c>
      <c r="F30" s="39">
        <v>762.04</v>
      </c>
      <c r="G30" s="39"/>
      <c r="H30" s="7">
        <f t="shared" si="5"/>
        <v>4959.2858500000002</v>
      </c>
      <c r="I30" s="7">
        <f t="shared" si="6"/>
        <v>381.02</v>
      </c>
      <c r="J30" s="7">
        <f t="shared" si="7"/>
        <v>0</v>
      </c>
      <c r="K30" s="21">
        <f t="shared" si="9"/>
        <v>570.31787274999999</v>
      </c>
      <c r="L30" s="21"/>
      <c r="M30" s="7">
        <f t="shared" si="12"/>
        <v>4007.9479772499999</v>
      </c>
      <c r="N30" s="11"/>
      <c r="O30" s="144">
        <v>43374</v>
      </c>
    </row>
    <row r="31" spans="2:15" ht="24.95" customHeight="1" x14ac:dyDescent="0.2">
      <c r="B31" s="51" t="s">
        <v>130</v>
      </c>
      <c r="C31" s="5"/>
      <c r="D31" s="54" t="s">
        <v>289</v>
      </c>
      <c r="E31" s="110">
        <v>13762.45615</v>
      </c>
      <c r="F31" s="39">
        <v>1331.01</v>
      </c>
      <c r="G31" s="39"/>
      <c r="H31" s="7">
        <f t="shared" si="5"/>
        <v>6881.228075</v>
      </c>
      <c r="I31" s="7">
        <f t="shared" si="6"/>
        <v>665.505</v>
      </c>
      <c r="J31" s="7">
        <f t="shared" si="7"/>
        <v>0</v>
      </c>
      <c r="K31" s="21">
        <f t="shared" si="9"/>
        <v>791.34122862499999</v>
      </c>
      <c r="L31" s="21">
        <v>829</v>
      </c>
      <c r="M31" s="7">
        <f t="shared" si="12"/>
        <v>4595.3818463749994</v>
      </c>
      <c r="N31" s="11"/>
      <c r="O31" s="144">
        <v>42278</v>
      </c>
    </row>
    <row r="32" spans="2:15" ht="24.95" customHeight="1" x14ac:dyDescent="0.2">
      <c r="B32" s="2" t="s">
        <v>152</v>
      </c>
      <c r="C32" s="5"/>
      <c r="D32" s="54" t="s">
        <v>241</v>
      </c>
      <c r="E32" s="110">
        <v>7670.085</v>
      </c>
      <c r="F32" s="39">
        <v>517.41</v>
      </c>
      <c r="G32" s="39"/>
      <c r="H32" s="7">
        <f t="shared" si="5"/>
        <v>3835.0425</v>
      </c>
      <c r="I32" s="7">
        <f t="shared" si="6"/>
        <v>258.70499999999998</v>
      </c>
      <c r="J32" s="7">
        <f t="shared" si="7"/>
        <v>0</v>
      </c>
      <c r="K32" s="21">
        <f t="shared" si="9"/>
        <v>441.02988750000003</v>
      </c>
      <c r="L32" s="21">
        <v>731</v>
      </c>
      <c r="M32" s="7">
        <f t="shared" si="12"/>
        <v>2404.3076125000002</v>
      </c>
      <c r="N32" s="11"/>
      <c r="O32" s="144">
        <v>41764</v>
      </c>
    </row>
    <row r="33" spans="1:15" ht="24.95" customHeight="1" x14ac:dyDescent="0.2">
      <c r="B33" s="10" t="s">
        <v>150</v>
      </c>
      <c r="C33" s="48"/>
      <c r="D33" s="54" t="s">
        <v>241</v>
      </c>
      <c r="E33" s="110">
        <v>11622.091</v>
      </c>
      <c r="F33" s="39">
        <v>972.68</v>
      </c>
      <c r="G33" s="39"/>
      <c r="H33" s="7">
        <f t="shared" si="5"/>
        <v>5811.0455000000002</v>
      </c>
      <c r="I33" s="7">
        <f t="shared" si="6"/>
        <v>486.34</v>
      </c>
      <c r="J33" s="7">
        <f t="shared" si="7"/>
        <v>0</v>
      </c>
      <c r="K33" s="21">
        <f t="shared" si="9"/>
        <v>668.27023250000002</v>
      </c>
      <c r="L33" s="21"/>
      <c r="M33" s="7">
        <f t="shared" si="12"/>
        <v>4656.4352675</v>
      </c>
      <c r="N33" s="11"/>
      <c r="O33" s="144">
        <v>38353</v>
      </c>
    </row>
    <row r="34" spans="1:15" s="51" customFormat="1" ht="29.25" customHeight="1" x14ac:dyDescent="0.2">
      <c r="B34" t="s">
        <v>469</v>
      </c>
      <c r="C34"/>
      <c r="D34" s="64" t="s">
        <v>298</v>
      </c>
      <c r="E34" s="110">
        <v>7670.085</v>
      </c>
      <c r="F34" s="39">
        <v>517.41</v>
      </c>
      <c r="G34" s="39"/>
      <c r="H34" s="7">
        <f t="shared" si="5"/>
        <v>3835.0425</v>
      </c>
      <c r="I34" s="7">
        <f t="shared" si="6"/>
        <v>258.70499999999998</v>
      </c>
      <c r="J34" s="7">
        <f t="shared" si="7"/>
        <v>0</v>
      </c>
      <c r="K34" s="21">
        <f t="shared" si="9"/>
        <v>441.02988750000003</v>
      </c>
      <c r="L34" s="21"/>
      <c r="M34" s="7">
        <f t="shared" si="12"/>
        <v>3135.3076125000002</v>
      </c>
      <c r="N34" s="74"/>
      <c r="O34" s="146">
        <v>44753</v>
      </c>
    </row>
    <row r="35" spans="1:15" ht="24.95" customHeight="1" x14ac:dyDescent="0.2">
      <c r="B35" s="10" t="s">
        <v>463</v>
      </c>
      <c r="C35" s="48"/>
      <c r="D35" s="106" t="s">
        <v>246</v>
      </c>
      <c r="E35" s="110">
        <v>8625.3612499999999</v>
      </c>
      <c r="F35" s="39">
        <v>621.34</v>
      </c>
      <c r="G35" s="39"/>
      <c r="H35" s="7">
        <f t="shared" si="5"/>
        <v>4312.680625</v>
      </c>
      <c r="I35" s="7">
        <f t="shared" si="6"/>
        <v>310.67</v>
      </c>
      <c r="J35" s="7">
        <f t="shared" si="7"/>
        <v>0</v>
      </c>
      <c r="K35" s="21">
        <f t="shared" si="9"/>
        <v>495.95827187500004</v>
      </c>
      <c r="L35" s="21"/>
      <c r="M35" s="7">
        <f t="shared" si="12"/>
        <v>3506.0523531250001</v>
      </c>
      <c r="N35" s="11"/>
      <c r="O35" s="144">
        <v>44743</v>
      </c>
    </row>
    <row r="36" spans="1:15" ht="24.95" customHeight="1" x14ac:dyDescent="0.2">
      <c r="B36" t="s">
        <v>300</v>
      </c>
      <c r="D36" s="106" t="s">
        <v>301</v>
      </c>
      <c r="E36" s="110">
        <v>4635.8578000000007</v>
      </c>
      <c r="F36" s="39"/>
      <c r="G36" s="39">
        <v>90.96</v>
      </c>
      <c r="H36" s="7">
        <f t="shared" si="5"/>
        <v>2317.9289000000003</v>
      </c>
      <c r="I36" s="7">
        <f t="shared" si="6"/>
        <v>0</v>
      </c>
      <c r="J36" s="7">
        <f t="shared" si="7"/>
        <v>45.48</v>
      </c>
      <c r="K36" s="21">
        <f t="shared" si="9"/>
        <v>266.56182350000006</v>
      </c>
      <c r="L36" s="21"/>
      <c r="M36" s="7">
        <f t="shared" si="12"/>
        <v>2096.8470765000002</v>
      </c>
      <c r="N36" s="11"/>
      <c r="O36" s="146">
        <v>43770</v>
      </c>
    </row>
    <row r="37" spans="1:15" ht="24.95" customHeight="1" x14ac:dyDescent="0.2">
      <c r="B37" s="51" t="s">
        <v>497</v>
      </c>
      <c r="D37" s="106" t="s">
        <v>486</v>
      </c>
      <c r="E37" s="110">
        <v>9918.5717000000004</v>
      </c>
      <c r="F37" s="39">
        <v>762.04</v>
      </c>
      <c r="G37" s="39"/>
      <c r="H37" s="7">
        <f t="shared" si="5"/>
        <v>4959.2858500000002</v>
      </c>
      <c r="I37" s="7">
        <f t="shared" si="6"/>
        <v>381.02</v>
      </c>
      <c r="J37" s="7">
        <f t="shared" si="7"/>
        <v>0</v>
      </c>
      <c r="K37" s="21">
        <f t="shared" si="9"/>
        <v>570.31787274999999</v>
      </c>
      <c r="L37" s="21"/>
      <c r="M37" s="7">
        <f t="shared" si="12"/>
        <v>4007.9479772499999</v>
      </c>
      <c r="N37" s="11"/>
      <c r="O37" s="146">
        <v>45040</v>
      </c>
    </row>
    <row r="38" spans="1:15" ht="24.95" customHeight="1" x14ac:dyDescent="0.2">
      <c r="B38" s="51" t="s">
        <v>480</v>
      </c>
      <c r="D38" s="54" t="s">
        <v>93</v>
      </c>
      <c r="E38" s="110">
        <v>9918.5717000000004</v>
      </c>
      <c r="F38" s="39">
        <v>762.04</v>
      </c>
      <c r="G38" s="39"/>
      <c r="H38" s="7">
        <f t="shared" si="5"/>
        <v>4959.2858500000002</v>
      </c>
      <c r="I38" s="7">
        <f t="shared" si="6"/>
        <v>381.02</v>
      </c>
      <c r="J38" s="7">
        <f t="shared" si="7"/>
        <v>0</v>
      </c>
      <c r="K38" s="21">
        <f t="shared" si="9"/>
        <v>570.31787274999999</v>
      </c>
      <c r="L38" s="21"/>
      <c r="M38" s="7">
        <f t="shared" si="12"/>
        <v>4007.9479772499999</v>
      </c>
      <c r="N38" s="11"/>
      <c r="O38" s="146">
        <v>44927</v>
      </c>
    </row>
    <row r="39" spans="1:15" ht="24.95" customHeight="1" x14ac:dyDescent="0.2">
      <c r="B39" s="51" t="s">
        <v>523</v>
      </c>
      <c r="D39" s="54" t="s">
        <v>291</v>
      </c>
      <c r="E39" s="110">
        <v>4427.665</v>
      </c>
      <c r="F39" s="39"/>
      <c r="G39" s="39">
        <v>237.7</v>
      </c>
      <c r="H39" s="7">
        <f t="shared" si="5"/>
        <v>2213.8325</v>
      </c>
      <c r="I39" s="7">
        <f t="shared" si="6"/>
        <v>0</v>
      </c>
      <c r="J39" s="7">
        <f t="shared" si="7"/>
        <v>118.85</v>
      </c>
      <c r="K39" s="21">
        <f t="shared" si="9"/>
        <v>254.59073750000002</v>
      </c>
      <c r="L39" s="21"/>
      <c r="M39" s="7">
        <f t="shared" si="12"/>
        <v>2078.0917624999997</v>
      </c>
      <c r="N39" s="11"/>
      <c r="O39" s="146">
        <v>45136</v>
      </c>
    </row>
    <row r="40" spans="1:15" ht="24.95" customHeight="1" x14ac:dyDescent="0.2">
      <c r="B40" s="10" t="s">
        <v>136</v>
      </c>
      <c r="C40" s="48"/>
      <c r="D40" s="54" t="s">
        <v>64</v>
      </c>
      <c r="E40" s="110">
        <v>15844.9305</v>
      </c>
      <c r="F40" s="39">
        <v>1716.48</v>
      </c>
      <c r="G40" s="39"/>
      <c r="H40" s="7">
        <f t="shared" si="5"/>
        <v>7922.4652500000002</v>
      </c>
      <c r="I40" s="7">
        <f t="shared" si="6"/>
        <v>858.24</v>
      </c>
      <c r="J40" s="7">
        <f t="shared" si="7"/>
        <v>0</v>
      </c>
      <c r="K40" s="21">
        <f t="shared" si="9"/>
        <v>911.08350375000009</v>
      </c>
      <c r="L40" s="21">
        <v>477</v>
      </c>
      <c r="M40" s="7">
        <f t="shared" si="12"/>
        <v>5676.1417462500003</v>
      </c>
      <c r="N40" s="11"/>
      <c r="O40" s="144">
        <v>38353</v>
      </c>
    </row>
    <row r="41" spans="1:15" ht="24.95" customHeight="1" x14ac:dyDescent="0.2">
      <c r="B41" s="2" t="s">
        <v>389</v>
      </c>
      <c r="C41" s="5"/>
      <c r="D41" s="54" t="s">
        <v>93</v>
      </c>
      <c r="E41" s="110">
        <v>9918.5717000000004</v>
      </c>
      <c r="F41" s="39">
        <v>762.04</v>
      </c>
      <c r="G41" s="39"/>
      <c r="H41" s="7">
        <f t="shared" si="5"/>
        <v>4959.2858500000002</v>
      </c>
      <c r="I41" s="7">
        <f t="shared" si="6"/>
        <v>381.02</v>
      </c>
      <c r="J41" s="7">
        <f t="shared" si="7"/>
        <v>0</v>
      </c>
      <c r="K41" s="21">
        <f t="shared" si="9"/>
        <v>570.31787274999999</v>
      </c>
      <c r="L41" s="21"/>
      <c r="M41" s="7">
        <f t="shared" si="12"/>
        <v>4007.9479772499999</v>
      </c>
      <c r="N41" s="11"/>
      <c r="O41" s="144">
        <v>44578</v>
      </c>
    </row>
    <row r="42" spans="1:15" ht="24.95" customHeight="1" x14ac:dyDescent="0.2">
      <c r="B42" t="s">
        <v>308</v>
      </c>
      <c r="C42" s="83"/>
      <c r="D42" s="106" t="s">
        <v>88</v>
      </c>
      <c r="E42" s="110">
        <v>26523.14055</v>
      </c>
      <c r="F42" s="39">
        <v>3997.35</v>
      </c>
      <c r="G42" s="39"/>
      <c r="H42" s="7">
        <f t="shared" si="5"/>
        <v>13261.570275</v>
      </c>
      <c r="I42" s="7">
        <f t="shared" si="6"/>
        <v>1998.675</v>
      </c>
      <c r="J42" s="7">
        <f t="shared" si="7"/>
        <v>0</v>
      </c>
      <c r="K42" s="21">
        <f t="shared" si="9"/>
        <v>1525.0805816250001</v>
      </c>
      <c r="L42" s="21"/>
      <c r="M42" s="7">
        <f t="shared" si="12"/>
        <v>9737.8146933750013</v>
      </c>
      <c r="N42" s="11"/>
      <c r="O42" s="146">
        <v>44393</v>
      </c>
    </row>
    <row r="43" spans="1:15" ht="24.95" customHeight="1" x14ac:dyDescent="0.2">
      <c r="B43" t="s">
        <v>532</v>
      </c>
      <c r="C43" s="83"/>
      <c r="D43" s="54" t="s">
        <v>291</v>
      </c>
      <c r="E43" s="110">
        <v>4427.665</v>
      </c>
      <c r="F43" s="39"/>
      <c r="G43" s="39">
        <v>132.52000000000001</v>
      </c>
      <c r="H43" s="7">
        <f t="shared" si="5"/>
        <v>2213.8325</v>
      </c>
      <c r="I43" s="7">
        <f t="shared" si="6"/>
        <v>0</v>
      </c>
      <c r="J43" s="7">
        <f t="shared" si="7"/>
        <v>66.260000000000005</v>
      </c>
      <c r="K43" s="21">
        <f t="shared" si="9"/>
        <v>254.59073750000002</v>
      </c>
      <c r="L43" s="21"/>
      <c r="M43" s="7">
        <f>H43-I43+J43-K43-L43</f>
        <v>2025.5017625000003</v>
      </c>
      <c r="N43" s="11"/>
      <c r="O43" s="146">
        <v>45200</v>
      </c>
    </row>
    <row r="44" spans="1:15" ht="24.95" customHeight="1" x14ac:dyDescent="0.2">
      <c r="B44" t="s">
        <v>411</v>
      </c>
      <c r="C44" s="83"/>
      <c r="D44" s="106" t="s">
        <v>246</v>
      </c>
      <c r="E44" s="110">
        <v>8625.3612499999999</v>
      </c>
      <c r="F44" s="39">
        <v>621.34</v>
      </c>
      <c r="G44" s="39"/>
      <c r="H44" s="7">
        <f t="shared" si="5"/>
        <v>4312.680625</v>
      </c>
      <c r="I44" s="7">
        <f t="shared" si="6"/>
        <v>310.67</v>
      </c>
      <c r="J44" s="7">
        <f t="shared" si="7"/>
        <v>0</v>
      </c>
      <c r="K44" s="21">
        <f t="shared" si="9"/>
        <v>495.95827187500004</v>
      </c>
      <c r="L44" s="21"/>
      <c r="M44" s="7">
        <f t="shared" si="12"/>
        <v>3506.0523531250001</v>
      </c>
      <c r="N44" s="11"/>
      <c r="O44" s="146">
        <v>44636</v>
      </c>
    </row>
    <row r="45" spans="1:15" ht="24.95" customHeight="1" x14ac:dyDescent="0.2">
      <c r="B45" t="s">
        <v>372</v>
      </c>
      <c r="C45" s="83"/>
      <c r="D45" s="106" t="s">
        <v>506</v>
      </c>
      <c r="E45" s="110">
        <v>3161.72</v>
      </c>
      <c r="F45" s="39"/>
      <c r="G45" s="39">
        <v>237.7</v>
      </c>
      <c r="H45" s="7">
        <f t="shared" si="5"/>
        <v>1580.86</v>
      </c>
      <c r="I45" s="7">
        <f t="shared" si="6"/>
        <v>0</v>
      </c>
      <c r="J45" s="7">
        <f t="shared" si="7"/>
        <v>118.85</v>
      </c>
      <c r="K45" s="21">
        <f t="shared" si="9"/>
        <v>181.7989</v>
      </c>
      <c r="L45" s="21"/>
      <c r="M45" s="7">
        <f t="shared" si="12"/>
        <v>1517.9110999999998</v>
      </c>
      <c r="N45" s="11"/>
      <c r="O45" s="146">
        <v>44470</v>
      </c>
    </row>
    <row r="46" spans="1:15" ht="24.95" customHeight="1" x14ac:dyDescent="0.2">
      <c r="B46" t="s">
        <v>552</v>
      </c>
      <c r="C46" s="83"/>
      <c r="D46" s="86" t="s">
        <v>488</v>
      </c>
      <c r="E46" s="111">
        <v>19433.87</v>
      </c>
      <c r="F46" s="39">
        <v>2483.08</v>
      </c>
      <c r="G46" s="39"/>
      <c r="H46" s="7">
        <f t="shared" si="5"/>
        <v>9716.9349999999995</v>
      </c>
      <c r="I46" s="7">
        <f t="shared" si="6"/>
        <v>1241.54</v>
      </c>
      <c r="J46" s="7">
        <f t="shared" si="7"/>
        <v>0</v>
      </c>
      <c r="K46" s="7">
        <f t="shared" ref="K46" si="13">+H46*0.115</f>
        <v>1117.447525</v>
      </c>
      <c r="L46" s="7"/>
      <c r="M46" s="7">
        <f t="shared" ref="M46" si="14">H46-I46+J46-K46-L46</f>
        <v>7357.9474750000008</v>
      </c>
      <c r="N46" s="11"/>
      <c r="O46" s="146">
        <v>45376</v>
      </c>
    </row>
    <row r="47" spans="1:15" ht="24.95" customHeight="1" x14ac:dyDescent="0.2">
      <c r="B47" t="s">
        <v>316</v>
      </c>
      <c r="C47" s="83"/>
      <c r="D47" s="106" t="s">
        <v>375</v>
      </c>
      <c r="E47" s="110">
        <v>7670.085</v>
      </c>
      <c r="F47" s="39">
        <v>517.41</v>
      </c>
      <c r="G47" s="39"/>
      <c r="H47" s="7">
        <f t="shared" si="5"/>
        <v>3835.0425</v>
      </c>
      <c r="I47" s="7">
        <f t="shared" si="6"/>
        <v>258.70499999999998</v>
      </c>
      <c r="J47" s="7">
        <f t="shared" si="7"/>
        <v>0</v>
      </c>
      <c r="K47" s="21">
        <f t="shared" si="9"/>
        <v>441.02988750000003</v>
      </c>
      <c r="L47" s="21">
        <v>914</v>
      </c>
      <c r="M47" s="7">
        <f t="shared" si="12"/>
        <v>2221.3076125000002</v>
      </c>
      <c r="N47" s="11"/>
      <c r="O47" s="146">
        <v>44218</v>
      </c>
    </row>
    <row r="48" spans="1:15" ht="24.95" customHeight="1" x14ac:dyDescent="0.2">
      <c r="A48" s="81"/>
      <c r="B48" s="10" t="s">
        <v>357</v>
      </c>
      <c r="C48" s="48"/>
      <c r="D48" s="54" t="s">
        <v>66</v>
      </c>
      <c r="E48" s="27">
        <v>5780.94</v>
      </c>
      <c r="F48" s="39">
        <v>41.92</v>
      </c>
      <c r="G48" s="39"/>
      <c r="H48" s="7">
        <f t="shared" si="5"/>
        <v>2890.47</v>
      </c>
      <c r="I48" s="7">
        <f t="shared" si="6"/>
        <v>20.96</v>
      </c>
      <c r="J48" s="7">
        <f t="shared" si="7"/>
        <v>0</v>
      </c>
      <c r="K48" s="21"/>
      <c r="L48" s="21"/>
      <c r="M48" s="7">
        <f t="shared" si="12"/>
        <v>2869.5099999999998</v>
      </c>
      <c r="N48" s="11"/>
      <c r="O48" s="144">
        <v>44197</v>
      </c>
    </row>
    <row r="49" spans="1:15" ht="24.95" customHeight="1" x14ac:dyDescent="0.2">
      <c r="A49" s="81"/>
      <c r="B49" s="10" t="s">
        <v>481</v>
      </c>
      <c r="C49" s="48"/>
      <c r="D49" s="54" t="s">
        <v>485</v>
      </c>
      <c r="E49" s="111">
        <v>12597.34</v>
      </c>
      <c r="F49" s="39">
        <v>1128.72</v>
      </c>
      <c r="G49" s="39"/>
      <c r="H49" s="7">
        <f t="shared" si="5"/>
        <v>6298.67</v>
      </c>
      <c r="I49" s="7">
        <f t="shared" si="6"/>
        <v>564.36</v>
      </c>
      <c r="J49" s="7">
        <f t="shared" si="7"/>
        <v>0</v>
      </c>
      <c r="K49" s="21">
        <f>+H49*0.115</f>
        <v>724.34705000000008</v>
      </c>
      <c r="L49" s="21"/>
      <c r="M49" s="7">
        <f t="shared" si="12"/>
        <v>5009.9629500000001</v>
      </c>
      <c r="N49" s="11"/>
      <c r="O49" s="144">
        <v>44935</v>
      </c>
    </row>
    <row r="50" spans="1:15" ht="24.95" customHeight="1" x14ac:dyDescent="0.2">
      <c r="A50" s="81"/>
      <c r="B50" s="10" t="s">
        <v>535</v>
      </c>
      <c r="C50" s="48"/>
      <c r="D50" s="54" t="s">
        <v>291</v>
      </c>
      <c r="E50" s="110">
        <v>4427.665</v>
      </c>
      <c r="F50" s="39"/>
      <c r="G50" s="39">
        <v>132.52000000000001</v>
      </c>
      <c r="H50" s="7">
        <f t="shared" si="5"/>
        <v>2213.8325</v>
      </c>
      <c r="I50" s="7">
        <f t="shared" si="6"/>
        <v>0</v>
      </c>
      <c r="J50" s="7">
        <f t="shared" si="7"/>
        <v>66.260000000000005</v>
      </c>
      <c r="K50" s="21">
        <f t="shared" ref="K50" si="15">+H50*0.115</f>
        <v>254.59073750000002</v>
      </c>
      <c r="L50" s="21"/>
      <c r="M50" s="7">
        <f>H50-I50+J50-K50-L50</f>
        <v>2025.5017625000003</v>
      </c>
      <c r="N50" s="11"/>
      <c r="O50" s="144">
        <v>45261</v>
      </c>
    </row>
    <row r="51" spans="1:15" ht="24.95" customHeight="1" x14ac:dyDescent="0.2">
      <c r="A51" s="81"/>
      <c r="B51" s="10" t="s">
        <v>487</v>
      </c>
      <c r="C51" s="48"/>
      <c r="D51" s="54" t="s">
        <v>409</v>
      </c>
      <c r="E51" s="111">
        <v>7670.09</v>
      </c>
      <c r="F51" s="39">
        <v>517.41</v>
      </c>
      <c r="G51" s="39"/>
      <c r="H51" s="7">
        <f t="shared" si="5"/>
        <v>3835.0450000000001</v>
      </c>
      <c r="I51" s="7">
        <f t="shared" si="6"/>
        <v>258.70499999999998</v>
      </c>
      <c r="J51" s="7">
        <f t="shared" si="7"/>
        <v>0</v>
      </c>
      <c r="K51" s="21">
        <f>+H51*0.115</f>
        <v>441.03017500000004</v>
      </c>
      <c r="L51" s="21"/>
      <c r="M51" s="7">
        <f t="shared" si="12"/>
        <v>3135.3098250000003</v>
      </c>
      <c r="N51" s="11"/>
      <c r="O51" s="144">
        <v>45009</v>
      </c>
    </row>
    <row r="52" spans="1:15" ht="24.75" customHeight="1" x14ac:dyDescent="0.2">
      <c r="B52" s="10" t="s">
        <v>518</v>
      </c>
      <c r="C52" s="75"/>
      <c r="D52" s="106" t="s">
        <v>506</v>
      </c>
      <c r="E52" s="110">
        <v>3161.72</v>
      </c>
      <c r="F52" s="39"/>
      <c r="G52" s="39">
        <v>237.7</v>
      </c>
      <c r="H52" s="7">
        <f t="shared" si="5"/>
        <v>1580.86</v>
      </c>
      <c r="I52" s="7">
        <f t="shared" si="6"/>
        <v>0</v>
      </c>
      <c r="J52" s="7">
        <f t="shared" si="7"/>
        <v>118.85</v>
      </c>
      <c r="K52" s="21">
        <f t="shared" ref="K52" si="16">+H52*0.115</f>
        <v>181.7989</v>
      </c>
      <c r="L52" s="21"/>
      <c r="M52" s="7">
        <f t="shared" ref="M52:M53" si="17">H52-I52+J52-K52-L52</f>
        <v>1517.9110999999998</v>
      </c>
      <c r="N52" s="11"/>
      <c r="O52" s="146">
        <v>45136</v>
      </c>
    </row>
    <row r="53" spans="1:15" ht="24.75" customHeight="1" x14ac:dyDescent="0.2">
      <c r="B53" s="10" t="s">
        <v>544</v>
      </c>
      <c r="C53" s="75"/>
      <c r="D53" s="106" t="s">
        <v>375</v>
      </c>
      <c r="E53" s="111">
        <v>7670.09</v>
      </c>
      <c r="F53" s="39">
        <v>517.41</v>
      </c>
      <c r="G53" s="39"/>
      <c r="H53" s="7">
        <f t="shared" si="5"/>
        <v>3835.0450000000001</v>
      </c>
      <c r="I53" s="7">
        <f t="shared" si="6"/>
        <v>258.70499999999998</v>
      </c>
      <c r="J53" s="7">
        <f t="shared" si="7"/>
        <v>0</v>
      </c>
      <c r="K53" s="21">
        <f>+H53*0.115</f>
        <v>441.03017500000004</v>
      </c>
      <c r="L53" s="21"/>
      <c r="M53" s="7">
        <f t="shared" si="17"/>
        <v>3135.3098250000003</v>
      </c>
      <c r="N53" s="11"/>
      <c r="O53" s="146">
        <v>45285</v>
      </c>
    </row>
    <row r="54" spans="1:15" ht="24.95" customHeight="1" x14ac:dyDescent="0.2">
      <c r="B54" s="10" t="s">
        <v>462</v>
      </c>
      <c r="D54" s="106" t="s">
        <v>247</v>
      </c>
      <c r="E54" s="110">
        <v>7670.085</v>
      </c>
      <c r="F54" s="39">
        <v>517.41</v>
      </c>
      <c r="G54" s="39"/>
      <c r="H54" s="7">
        <f t="shared" si="5"/>
        <v>3835.0425</v>
      </c>
      <c r="I54" s="7">
        <f t="shared" si="6"/>
        <v>258.70499999999998</v>
      </c>
      <c r="J54" s="7">
        <f t="shared" si="7"/>
        <v>0</v>
      </c>
      <c r="K54" s="21">
        <f t="shared" ref="K54:K60" si="18">+H54*0.115</f>
        <v>441.02988750000003</v>
      </c>
      <c r="L54" s="21"/>
      <c r="M54" s="7">
        <f>H54-I54+J54-K54-L54</f>
        <v>3135.3076125000002</v>
      </c>
      <c r="N54" s="11"/>
      <c r="O54" s="146">
        <v>44743</v>
      </c>
    </row>
    <row r="55" spans="1:15" ht="24.95" customHeight="1" x14ac:dyDescent="0.2">
      <c r="B55" s="51" t="s">
        <v>318</v>
      </c>
      <c r="C55" s="51"/>
      <c r="D55" s="106" t="s">
        <v>361</v>
      </c>
      <c r="E55" s="110">
        <v>11980.9426</v>
      </c>
      <c r="F55" s="39">
        <v>1030.0999999999999</v>
      </c>
      <c r="G55" s="39"/>
      <c r="H55" s="7">
        <f t="shared" si="5"/>
        <v>5990.4713000000002</v>
      </c>
      <c r="I55" s="7">
        <f t="shared" si="6"/>
        <v>515.04999999999995</v>
      </c>
      <c r="J55" s="7">
        <f t="shared" si="7"/>
        <v>0</v>
      </c>
      <c r="K55" s="21">
        <f t="shared" si="18"/>
        <v>688.9041995</v>
      </c>
      <c r="L55" s="21"/>
      <c r="M55" s="7">
        <f>H55-I55+J55-K55-L55</f>
        <v>4786.5171005000002</v>
      </c>
      <c r="N55" s="11"/>
      <c r="O55" s="146">
        <v>43525</v>
      </c>
    </row>
    <row r="56" spans="1:15" ht="24.95" customHeight="1" x14ac:dyDescent="0.2">
      <c r="B56" s="2" t="s">
        <v>133</v>
      </c>
      <c r="C56" s="5"/>
      <c r="D56" s="28" t="s">
        <v>253</v>
      </c>
      <c r="E56" s="110">
        <v>15180.3236</v>
      </c>
      <c r="F56" s="39">
        <v>1585.09</v>
      </c>
      <c r="G56" s="39"/>
      <c r="H56" s="7">
        <f t="shared" si="5"/>
        <v>7590.1617999999999</v>
      </c>
      <c r="I56" s="7">
        <f t="shared" si="6"/>
        <v>792.54499999999996</v>
      </c>
      <c r="J56" s="7">
        <f t="shared" si="7"/>
        <v>0</v>
      </c>
      <c r="K56" s="7">
        <f t="shared" si="18"/>
        <v>872.868607</v>
      </c>
      <c r="L56" s="7"/>
      <c r="M56" s="91">
        <f t="shared" ref="M56:M57" si="19">+H56-I56+J56-K56-L56</f>
        <v>5924.7481929999994</v>
      </c>
      <c r="N56" s="11"/>
      <c r="O56" s="144">
        <v>42278</v>
      </c>
    </row>
    <row r="57" spans="1:15" ht="24.95" customHeight="1" x14ac:dyDescent="0.2">
      <c r="B57" s="2" t="s">
        <v>533</v>
      </c>
      <c r="C57" s="5"/>
      <c r="D57" s="28" t="s">
        <v>534</v>
      </c>
      <c r="E57" s="110">
        <v>9657.48</v>
      </c>
      <c r="F57" s="39">
        <v>733.64</v>
      </c>
      <c r="G57" s="39"/>
      <c r="H57" s="7">
        <f t="shared" si="5"/>
        <v>4828.74</v>
      </c>
      <c r="I57" s="7">
        <f t="shared" si="6"/>
        <v>366.82</v>
      </c>
      <c r="J57" s="7">
        <f t="shared" si="7"/>
        <v>0</v>
      </c>
      <c r="K57" s="7">
        <f>+H57*0.115</f>
        <v>555.30510000000004</v>
      </c>
      <c r="L57" s="7"/>
      <c r="M57" s="91">
        <f t="shared" si="19"/>
        <v>3906.6149</v>
      </c>
      <c r="N57" s="11"/>
      <c r="O57" s="144">
        <v>45246</v>
      </c>
    </row>
    <row r="58" spans="1:15" ht="24.95" customHeight="1" x14ac:dyDescent="0.2">
      <c r="A58" s="81">
        <v>44329</v>
      </c>
      <c r="B58" s="2" t="s">
        <v>131</v>
      </c>
      <c r="C58" s="5"/>
      <c r="D58" s="54" t="s">
        <v>390</v>
      </c>
      <c r="E58" s="111">
        <v>13478.889350000001</v>
      </c>
      <c r="F58" s="39">
        <v>1280.2</v>
      </c>
      <c r="G58" s="39"/>
      <c r="H58" s="7">
        <f t="shared" si="5"/>
        <v>6739.4446750000006</v>
      </c>
      <c r="I58" s="7">
        <f t="shared" si="6"/>
        <v>640.1</v>
      </c>
      <c r="J58" s="7">
        <f t="shared" si="7"/>
        <v>0</v>
      </c>
      <c r="K58" s="21">
        <f t="shared" si="18"/>
        <v>775.03613762500015</v>
      </c>
      <c r="L58" s="21"/>
      <c r="M58" s="7">
        <f t="shared" ref="M58:M61" si="20">H58-I58+J58-K58-L58</f>
        <v>5324.308537375</v>
      </c>
      <c r="N58" s="11"/>
      <c r="O58" s="144">
        <v>34865</v>
      </c>
    </row>
    <row r="59" spans="1:15" ht="24.95" customHeight="1" x14ac:dyDescent="0.2">
      <c r="B59" s="51" t="s">
        <v>142</v>
      </c>
      <c r="C59" s="2"/>
      <c r="D59" s="54" t="s">
        <v>62</v>
      </c>
      <c r="E59" s="110">
        <v>9918.5717000000004</v>
      </c>
      <c r="F59" s="39">
        <v>762.04</v>
      </c>
      <c r="G59" s="39"/>
      <c r="H59" s="7">
        <f t="shared" si="5"/>
        <v>4959.2858500000002</v>
      </c>
      <c r="I59" s="7">
        <f t="shared" si="6"/>
        <v>381.02</v>
      </c>
      <c r="J59" s="7">
        <f t="shared" si="7"/>
        <v>0</v>
      </c>
      <c r="K59" s="21">
        <f t="shared" si="18"/>
        <v>570.31787274999999</v>
      </c>
      <c r="L59" s="21"/>
      <c r="M59" s="7">
        <f t="shared" si="20"/>
        <v>4007.9479772499999</v>
      </c>
      <c r="N59" s="11"/>
      <c r="O59" s="144">
        <v>43374</v>
      </c>
    </row>
    <row r="60" spans="1:15" ht="24.75" customHeight="1" x14ac:dyDescent="0.2">
      <c r="B60" s="51" t="s">
        <v>327</v>
      </c>
      <c r="C60" s="51"/>
      <c r="D60" s="88" t="s">
        <v>93</v>
      </c>
      <c r="E60" s="111">
        <v>9918.5717000000004</v>
      </c>
      <c r="F60" s="39">
        <v>762.04</v>
      </c>
      <c r="G60" s="39"/>
      <c r="H60" s="7">
        <f t="shared" si="5"/>
        <v>4959.2858500000002</v>
      </c>
      <c r="I60" s="7">
        <f t="shared" si="6"/>
        <v>381.02</v>
      </c>
      <c r="J60" s="7">
        <f t="shared" si="7"/>
        <v>0</v>
      </c>
      <c r="K60" s="21">
        <f t="shared" si="18"/>
        <v>570.31787274999999</v>
      </c>
      <c r="L60" s="21"/>
      <c r="M60" s="7">
        <f t="shared" si="20"/>
        <v>4007.9479772499999</v>
      </c>
      <c r="N60" s="11"/>
      <c r="O60" s="146">
        <v>44396</v>
      </c>
    </row>
    <row r="61" spans="1:15" ht="24.95" customHeight="1" x14ac:dyDescent="0.2">
      <c r="B61" s="3" t="s">
        <v>213</v>
      </c>
      <c r="D61" s="28" t="s">
        <v>486</v>
      </c>
      <c r="E61" s="110">
        <v>9918.5717000000004</v>
      </c>
      <c r="F61" s="39">
        <v>762.04</v>
      </c>
      <c r="G61" s="39"/>
      <c r="H61" s="7">
        <f t="shared" si="5"/>
        <v>4959.2858500000002</v>
      </c>
      <c r="I61" s="7">
        <f t="shared" si="6"/>
        <v>381.02</v>
      </c>
      <c r="J61" s="7">
        <f t="shared" si="7"/>
        <v>0</v>
      </c>
      <c r="K61" s="21">
        <f t="shared" ref="K61" si="21">+H61*0.115</f>
        <v>570.31787274999999</v>
      </c>
      <c r="L61" s="21"/>
      <c r="M61" s="7">
        <f t="shared" si="20"/>
        <v>4007.9479772499999</v>
      </c>
      <c r="N61" s="11"/>
      <c r="O61" s="157">
        <v>43420</v>
      </c>
    </row>
    <row r="62" spans="1:15" ht="24.95" customHeight="1" x14ac:dyDescent="0.2">
      <c r="B62" s="2" t="s">
        <v>169</v>
      </c>
      <c r="C62" s="5"/>
      <c r="D62" s="28" t="s">
        <v>459</v>
      </c>
      <c r="E62" s="110">
        <v>9657.48</v>
      </c>
      <c r="F62" s="39">
        <v>733.64</v>
      </c>
      <c r="G62" s="39"/>
      <c r="H62" s="7">
        <f t="shared" si="5"/>
        <v>4828.74</v>
      </c>
      <c r="I62" s="7">
        <f t="shared" si="6"/>
        <v>366.82</v>
      </c>
      <c r="J62" s="7">
        <f t="shared" si="7"/>
        <v>0</v>
      </c>
      <c r="K62" s="7">
        <f>+H62*0.115</f>
        <v>555.30510000000004</v>
      </c>
      <c r="L62" s="7"/>
      <c r="M62" s="91">
        <f t="shared" ref="M62:M63" si="22">+H62-I62+J62-K62-L62</f>
        <v>3906.6149</v>
      </c>
      <c r="N62" s="11"/>
      <c r="O62" s="144">
        <v>40179</v>
      </c>
    </row>
    <row r="63" spans="1:15" ht="24.95" customHeight="1" x14ac:dyDescent="0.2">
      <c r="B63" s="2" t="s">
        <v>383</v>
      </c>
      <c r="C63" s="5"/>
      <c r="D63" s="28" t="s">
        <v>20</v>
      </c>
      <c r="E63" s="110">
        <v>7670.085</v>
      </c>
      <c r="F63" s="39">
        <v>517.41</v>
      </c>
      <c r="G63" s="39"/>
      <c r="H63" s="7">
        <f t="shared" si="5"/>
        <v>3835.0425</v>
      </c>
      <c r="I63" s="7">
        <f t="shared" si="6"/>
        <v>258.70499999999998</v>
      </c>
      <c r="J63" s="7">
        <f t="shared" si="7"/>
        <v>0</v>
      </c>
      <c r="K63" s="7">
        <f>+H63*0.115</f>
        <v>441.02988750000003</v>
      </c>
      <c r="L63" s="7"/>
      <c r="M63" s="91">
        <f t="shared" si="22"/>
        <v>3135.3076125000002</v>
      </c>
      <c r="N63" s="11"/>
      <c r="O63" s="144">
        <v>44522</v>
      </c>
    </row>
    <row r="64" spans="1:15" ht="24.95" customHeight="1" x14ac:dyDescent="0.2">
      <c r="B64" s="2" t="s">
        <v>536</v>
      </c>
      <c r="C64" s="5"/>
      <c r="D64" s="28" t="s">
        <v>20</v>
      </c>
      <c r="E64" s="110">
        <v>7670.085</v>
      </c>
      <c r="F64" s="39">
        <v>517.41</v>
      </c>
      <c r="G64" s="39"/>
      <c r="H64" s="7">
        <f t="shared" si="5"/>
        <v>3835.0425</v>
      </c>
      <c r="I64" s="7">
        <f t="shared" si="6"/>
        <v>258.70499999999998</v>
      </c>
      <c r="J64" s="7">
        <f t="shared" si="7"/>
        <v>0</v>
      </c>
      <c r="K64" s="7">
        <f>+H64*0.115</f>
        <v>441.02988750000003</v>
      </c>
      <c r="L64" s="7"/>
      <c r="M64" s="91">
        <f t="shared" ref="M64" si="23">+H64-I64+J64-K64-L64</f>
        <v>3135.3076125000002</v>
      </c>
      <c r="N64" s="11"/>
      <c r="O64" s="144">
        <v>45259</v>
      </c>
    </row>
    <row r="65" spans="1:15" ht="24.95" customHeight="1" x14ac:dyDescent="0.2">
      <c r="B65" s="2" t="s">
        <v>531</v>
      </c>
      <c r="C65" s="5"/>
      <c r="D65" s="54" t="s">
        <v>291</v>
      </c>
      <c r="E65" s="110">
        <v>4427.665</v>
      </c>
      <c r="F65" s="39"/>
      <c r="G65" s="39">
        <v>132.52000000000001</v>
      </c>
      <c r="H65" s="7">
        <f t="shared" si="5"/>
        <v>2213.8325</v>
      </c>
      <c r="I65" s="7">
        <f t="shared" si="6"/>
        <v>0</v>
      </c>
      <c r="J65" s="7">
        <f t="shared" si="7"/>
        <v>66.260000000000005</v>
      </c>
      <c r="K65" s="21">
        <f t="shared" ref="K65" si="24">+H65*0.115</f>
        <v>254.59073750000002</v>
      </c>
      <c r="L65" s="21"/>
      <c r="M65" s="7">
        <f>H65-I65+J65-K65-L65</f>
        <v>2025.5017625000003</v>
      </c>
      <c r="N65" s="11"/>
      <c r="O65" s="144">
        <v>45215</v>
      </c>
    </row>
    <row r="66" spans="1:15" ht="24.95" customHeight="1" x14ac:dyDescent="0.2">
      <c r="A66" s="81">
        <v>43943</v>
      </c>
      <c r="B66" t="s">
        <v>295</v>
      </c>
      <c r="D66" s="106" t="s">
        <v>246</v>
      </c>
      <c r="E66" s="111">
        <v>8625.3612499999999</v>
      </c>
      <c r="F66" s="39">
        <v>621.34</v>
      </c>
      <c r="G66" s="39"/>
      <c r="H66" s="7">
        <f t="shared" si="5"/>
        <v>4312.680625</v>
      </c>
      <c r="I66" s="7">
        <f t="shared" si="6"/>
        <v>310.67</v>
      </c>
      <c r="J66" s="7">
        <f t="shared" si="7"/>
        <v>0</v>
      </c>
      <c r="K66" s="21">
        <f>+H66*0.115</f>
        <v>495.95827187500004</v>
      </c>
      <c r="L66" s="21"/>
      <c r="M66" s="7">
        <f>H66-I66+J66-K66-L66</f>
        <v>3506.0523531250001</v>
      </c>
      <c r="N66" s="11"/>
      <c r="O66" s="146">
        <v>43600</v>
      </c>
    </row>
    <row r="67" spans="1:15" ht="24.95" customHeight="1" x14ac:dyDescent="0.2">
      <c r="A67" s="81">
        <v>43481</v>
      </c>
      <c r="B67" s="2" t="s">
        <v>151</v>
      </c>
      <c r="C67" s="5"/>
      <c r="D67" s="54" t="s">
        <v>241</v>
      </c>
      <c r="E67" s="111">
        <v>6365.8472000000002</v>
      </c>
      <c r="F67" s="39">
        <v>121.97</v>
      </c>
      <c r="G67" s="39"/>
      <c r="H67" s="7">
        <f t="shared" si="5"/>
        <v>3182.9236000000001</v>
      </c>
      <c r="I67" s="7">
        <f t="shared" si="6"/>
        <v>60.984999999999999</v>
      </c>
      <c r="J67" s="7">
        <f t="shared" si="7"/>
        <v>0</v>
      </c>
      <c r="K67" s="21">
        <f t="shared" ref="K67" si="25">+H67*0.115</f>
        <v>366.03621400000003</v>
      </c>
      <c r="L67" s="21"/>
      <c r="M67" s="7">
        <f>H67-I67+J67-K67-L67</f>
        <v>2755.9023859999998</v>
      </c>
      <c r="N67" s="11"/>
      <c r="O67" s="144">
        <v>41647</v>
      </c>
    </row>
    <row r="68" spans="1:15" ht="24.95" customHeight="1" x14ac:dyDescent="0.2">
      <c r="A68" s="81"/>
      <c r="B68" s="2" t="s">
        <v>385</v>
      </c>
      <c r="C68" s="5"/>
      <c r="D68" s="54" t="s">
        <v>384</v>
      </c>
      <c r="E68" s="27">
        <v>6125.98</v>
      </c>
      <c r="F68" s="39">
        <v>64.010000000000005</v>
      </c>
      <c r="G68" s="39"/>
      <c r="H68" s="7">
        <f t="shared" si="5"/>
        <v>3062.99</v>
      </c>
      <c r="I68" s="7">
        <f t="shared" si="6"/>
        <v>32.005000000000003</v>
      </c>
      <c r="J68" s="7">
        <f t="shared" si="7"/>
        <v>0</v>
      </c>
      <c r="K68" s="21"/>
      <c r="L68" s="21"/>
      <c r="M68" s="7">
        <f>H68-I68+J68-K68-L68</f>
        <v>3030.9849999999997</v>
      </c>
      <c r="N68" s="11"/>
      <c r="O68" s="144">
        <v>44531</v>
      </c>
    </row>
    <row r="69" spans="1:15" ht="24.95" customHeight="1" x14ac:dyDescent="0.2">
      <c r="A69" s="81"/>
      <c r="B69" s="2" t="s">
        <v>553</v>
      </c>
      <c r="C69" s="5"/>
      <c r="D69" s="54" t="s">
        <v>20</v>
      </c>
      <c r="E69" s="110">
        <v>7670.085</v>
      </c>
      <c r="F69" s="39">
        <v>517.41</v>
      </c>
      <c r="G69" s="39"/>
      <c r="H69" s="7">
        <f t="shared" ref="H69:H70" si="26">+E69/2</f>
        <v>3835.0425</v>
      </c>
      <c r="I69" s="7">
        <f t="shared" ref="I69:I70" si="27">+F69/2</f>
        <v>258.70499999999998</v>
      </c>
      <c r="J69" s="7">
        <f t="shared" ref="J69:J70" si="28">+G69/2</f>
        <v>0</v>
      </c>
      <c r="K69" s="7">
        <f>+H69*0.115</f>
        <v>441.02988750000003</v>
      </c>
      <c r="L69" s="7"/>
      <c r="M69" s="91">
        <f t="shared" ref="M69" si="29">+H69-I69+J69-K69-L69</f>
        <v>3135.3076125000002</v>
      </c>
      <c r="N69" s="11"/>
      <c r="O69" s="144">
        <v>45397</v>
      </c>
    </row>
    <row r="70" spans="1:15" ht="24.95" customHeight="1" x14ac:dyDescent="0.2">
      <c r="A70" s="81"/>
      <c r="B70" s="2" t="s">
        <v>498</v>
      </c>
      <c r="C70" s="5"/>
      <c r="D70" s="54" t="s">
        <v>486</v>
      </c>
      <c r="E70" s="111">
        <v>9918.5717000000004</v>
      </c>
      <c r="F70" s="39">
        <v>762.04</v>
      </c>
      <c r="G70" s="39"/>
      <c r="H70" s="7">
        <f t="shared" si="26"/>
        <v>4959.2858500000002</v>
      </c>
      <c r="I70" s="7">
        <f t="shared" si="27"/>
        <v>381.02</v>
      </c>
      <c r="J70" s="7">
        <f t="shared" si="28"/>
        <v>0</v>
      </c>
      <c r="K70" s="21">
        <f t="shared" ref="K70" si="30">+H70*0.115</f>
        <v>570.31787274999999</v>
      </c>
      <c r="L70" s="21"/>
      <c r="M70" s="7">
        <f t="shared" ref="M70" si="31">H70-I70+J70-K70-L70</f>
        <v>4007.9479772499999</v>
      </c>
      <c r="N70" s="11"/>
      <c r="O70" s="144">
        <v>45033</v>
      </c>
    </row>
    <row r="71" spans="1:15" ht="18.75" customHeight="1" x14ac:dyDescent="0.2">
      <c r="D71" s="25" t="s">
        <v>9</v>
      </c>
      <c r="E71" s="41">
        <f>SUM(E5:E68)</f>
        <v>577206.12449999992</v>
      </c>
      <c r="F71" s="41">
        <f>SUM(F5:F68)</f>
        <v>45058.120000000017</v>
      </c>
      <c r="G71" s="41">
        <f>SUM(G5:G68)</f>
        <v>2838.97</v>
      </c>
      <c r="H71" s="26">
        <f t="shared" ref="H71:M71" si="32">SUM(H5:H70)</f>
        <v>297397.39059999993</v>
      </c>
      <c r="I71" s="26">
        <f t="shared" si="32"/>
        <v>23168.785000000011</v>
      </c>
      <c r="J71" s="26">
        <f t="shared" si="32"/>
        <v>1419.4849999999999</v>
      </c>
      <c r="K71" s="26">
        <f t="shared" si="32"/>
        <v>33152.454219000014</v>
      </c>
      <c r="L71" s="26">
        <f t="shared" si="32"/>
        <v>6242</v>
      </c>
      <c r="M71" s="26">
        <f t="shared" si="32"/>
        <v>236253.63638100005</v>
      </c>
    </row>
    <row r="72" spans="1:15" x14ac:dyDescent="0.2">
      <c r="H72" s="7"/>
    </row>
    <row r="75" spans="1:15" x14ac:dyDescent="0.2">
      <c r="B75" s="10"/>
      <c r="C75" s="2"/>
      <c r="D75" s="2"/>
      <c r="E75" s="27">
        <v>8269.7999999999993</v>
      </c>
      <c r="F75" s="27">
        <v>733.46919999999989</v>
      </c>
    </row>
    <row r="76" spans="1:15" x14ac:dyDescent="0.2">
      <c r="B76" s="10"/>
      <c r="C76" s="2"/>
      <c r="D76" s="2"/>
      <c r="E76" s="27">
        <v>8807.4</v>
      </c>
      <c r="F76" s="27">
        <v>823.43548799999985</v>
      </c>
    </row>
  </sheetData>
  <autoFilter ref="B4:N68"/>
  <sortState ref="B5:R76">
    <sortCondition ref="B5:B76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A30"/>
  <sheetViews>
    <sheetView topLeftCell="D1" zoomScale="80" zoomScaleNormal="80" workbookViewId="0">
      <selection activeCell="P1" sqref="P1:X1048576"/>
    </sheetView>
  </sheetViews>
  <sheetFormatPr baseColWidth="10" defaultRowHeight="12.75" x14ac:dyDescent="0.2"/>
  <cols>
    <col min="1" max="1" width="2.140625" hidden="1" customWidth="1"/>
    <col min="2" max="2" width="38.5703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2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7" ht="15" x14ac:dyDescent="0.25">
      <c r="E2" s="15" t="s">
        <v>72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31 DE JULIO DE 2024</v>
      </c>
      <c r="O2" s="16"/>
    </row>
    <row r="3" spans="1:27" x14ac:dyDescent="0.2">
      <c r="E3" s="16" t="str">
        <f>+'C. GESTION INTEGRAL op'!E3</f>
        <v>SEGUNDA QUINCENA DE JULIO DE 2024</v>
      </c>
      <c r="F3" s="13"/>
      <c r="G3" s="13"/>
      <c r="H3" s="13"/>
      <c r="I3" s="13"/>
      <c r="J3" s="16"/>
      <c r="K3" s="13"/>
      <c r="L3" s="13"/>
      <c r="M3" s="13"/>
    </row>
    <row r="4" spans="1:2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7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/>
      <c r="H5" s="18" t="s">
        <v>4</v>
      </c>
      <c r="I5" s="18" t="s">
        <v>29</v>
      </c>
      <c r="J5" s="45" t="s">
        <v>33</v>
      </c>
      <c r="K5" s="102" t="s">
        <v>400</v>
      </c>
      <c r="L5" s="113" t="s">
        <v>496</v>
      </c>
      <c r="M5" s="18" t="s">
        <v>5</v>
      </c>
      <c r="N5" s="17" t="s">
        <v>6</v>
      </c>
      <c r="O5" s="37" t="s">
        <v>365</v>
      </c>
      <c r="Q5" s="37"/>
    </row>
    <row r="6" spans="1:27" x14ac:dyDescent="0.2">
      <c r="F6" s="39"/>
      <c r="G6" s="39"/>
    </row>
    <row r="7" spans="1:27" ht="72" x14ac:dyDescent="0.2">
      <c r="B7" s="2" t="s">
        <v>178</v>
      </c>
      <c r="C7" s="2"/>
      <c r="D7" s="28" t="s">
        <v>242</v>
      </c>
      <c r="E7" s="110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91">
        <f>+H7-I7+J7-K7-L7</f>
        <v>9737.8146933750013</v>
      </c>
      <c r="N7" s="11"/>
      <c r="O7" s="144">
        <v>43374</v>
      </c>
      <c r="P7" s="135"/>
      <c r="Q7" s="135"/>
      <c r="R7" s="150"/>
      <c r="S7" s="135"/>
      <c r="T7" s="135"/>
      <c r="U7" s="135"/>
      <c r="V7" s="135"/>
      <c r="W7" s="135"/>
      <c r="X7" s="135"/>
    </row>
    <row r="8" spans="1:27" ht="24.95" customHeight="1" x14ac:dyDescent="0.2">
      <c r="B8" s="2" t="s">
        <v>312</v>
      </c>
      <c r="C8" s="2"/>
      <c r="D8" s="3" t="s">
        <v>313</v>
      </c>
      <c r="E8" s="116">
        <v>10111.709999999999</v>
      </c>
      <c r="F8" s="39">
        <v>783.06</v>
      </c>
      <c r="G8" s="39"/>
      <c r="H8" s="7">
        <f t="shared" ref="H8:H24" si="1">+E8/2</f>
        <v>5055.8549999999996</v>
      </c>
      <c r="I8" s="7">
        <f t="shared" ref="I8:I24" si="2">+F8/2</f>
        <v>391.53</v>
      </c>
      <c r="J8" s="7">
        <f t="shared" ref="J8:J24" si="3">+G8/2</f>
        <v>0</v>
      </c>
      <c r="K8" s="7"/>
      <c r="L8" s="7"/>
      <c r="M8" s="91">
        <f t="shared" ref="M8:M23" si="4">+H8-I8+J8-K8-L8</f>
        <v>4664.3249999999998</v>
      </c>
      <c r="N8" s="11"/>
      <c r="O8" s="142">
        <v>44470</v>
      </c>
      <c r="P8" s="135"/>
      <c r="Q8" s="135"/>
      <c r="R8" s="135"/>
      <c r="S8" s="135"/>
      <c r="T8" s="135"/>
      <c r="U8" s="135"/>
      <c r="V8" s="135"/>
      <c r="W8" s="135"/>
      <c r="X8" s="135"/>
    </row>
    <row r="9" spans="1:27" ht="24.95" customHeight="1" x14ac:dyDescent="0.2">
      <c r="B9" s="2" t="s">
        <v>113</v>
      </c>
      <c r="C9" s="2"/>
      <c r="D9" s="28" t="s">
        <v>73</v>
      </c>
      <c r="E9" s="111">
        <v>11274.556649999999</v>
      </c>
      <c r="F9" s="39">
        <v>917.08</v>
      </c>
      <c r="G9" s="39"/>
      <c r="H9" s="7">
        <f t="shared" si="1"/>
        <v>5637.2783249999993</v>
      </c>
      <c r="I9" s="7">
        <f t="shared" si="2"/>
        <v>458.54</v>
      </c>
      <c r="J9" s="7">
        <f t="shared" si="3"/>
        <v>0</v>
      </c>
      <c r="K9" s="7">
        <f t="shared" ref="K9:K23" si="5">+H9*0.115</f>
        <v>648.28700737499992</v>
      </c>
      <c r="L9" s="7"/>
      <c r="M9" s="91">
        <f t="shared" si="4"/>
        <v>4530.4513176249993</v>
      </c>
      <c r="N9" s="11"/>
      <c r="O9" s="144">
        <v>43374</v>
      </c>
      <c r="P9" s="135"/>
      <c r="Q9" s="144"/>
      <c r="R9" s="150"/>
      <c r="S9" s="135"/>
      <c r="T9" s="135"/>
      <c r="U9" s="135"/>
      <c r="V9" s="135"/>
      <c r="W9" s="135"/>
      <c r="X9" s="135"/>
    </row>
    <row r="10" spans="1:27" ht="24.95" customHeight="1" x14ac:dyDescent="0.2">
      <c r="B10" s="2" t="s">
        <v>538</v>
      </c>
      <c r="C10" s="2"/>
      <c r="D10" s="28" t="s">
        <v>539</v>
      </c>
      <c r="E10" s="110">
        <v>8625.3612499999999</v>
      </c>
      <c r="F10" s="39">
        <v>621.34</v>
      </c>
      <c r="G10" s="39"/>
      <c r="H10" s="7">
        <f t="shared" si="1"/>
        <v>4312.680625</v>
      </c>
      <c r="I10" s="7">
        <f t="shared" si="2"/>
        <v>310.67</v>
      </c>
      <c r="J10" s="7">
        <f t="shared" si="3"/>
        <v>0</v>
      </c>
      <c r="K10" s="21">
        <f t="shared" ref="K10" si="6">+H10*0.115</f>
        <v>495.95827187500004</v>
      </c>
      <c r="L10" s="21"/>
      <c r="M10" s="91">
        <f t="shared" ref="M10" si="7">+H10-I10+J10-K10-L10</f>
        <v>3506.0523531250001</v>
      </c>
      <c r="N10" s="11"/>
      <c r="O10" s="144">
        <v>45264</v>
      </c>
      <c r="P10" s="135"/>
      <c r="Q10" s="150"/>
      <c r="R10" s="150"/>
      <c r="S10" s="135"/>
      <c r="T10" s="135"/>
      <c r="U10" s="135"/>
      <c r="V10" s="135"/>
      <c r="W10" s="135"/>
      <c r="X10" s="135"/>
    </row>
    <row r="11" spans="1:27" ht="24.95" customHeight="1" x14ac:dyDescent="0.2">
      <c r="B11" s="2" t="s">
        <v>451</v>
      </c>
      <c r="C11" s="2"/>
      <c r="D11" s="28" t="s">
        <v>311</v>
      </c>
      <c r="E11" s="110">
        <v>5541.5054</v>
      </c>
      <c r="F11" s="39">
        <v>26.6</v>
      </c>
      <c r="G11" s="39"/>
      <c r="H11" s="7">
        <f t="shared" si="1"/>
        <v>2770.7527</v>
      </c>
      <c r="I11" s="7">
        <f t="shared" si="2"/>
        <v>13.3</v>
      </c>
      <c r="J11" s="7">
        <f t="shared" si="3"/>
        <v>0</v>
      </c>
      <c r="K11" s="21">
        <f t="shared" si="5"/>
        <v>318.63656050000003</v>
      </c>
      <c r="L11" s="21"/>
      <c r="M11" s="91">
        <f t="shared" si="4"/>
        <v>2438.8161394999997</v>
      </c>
      <c r="N11" s="11"/>
      <c r="O11" s="144">
        <v>44683</v>
      </c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7" ht="24.95" customHeight="1" x14ac:dyDescent="0.2">
      <c r="B12" s="2" t="s">
        <v>517</v>
      </c>
      <c r="C12" s="2"/>
      <c r="D12" s="106" t="s">
        <v>516</v>
      </c>
      <c r="E12" s="110">
        <v>10745.24</v>
      </c>
      <c r="F12" s="39">
        <v>851.98</v>
      </c>
      <c r="G12" s="39"/>
      <c r="H12" s="7">
        <f t="shared" si="1"/>
        <v>5372.62</v>
      </c>
      <c r="I12" s="7">
        <f t="shared" si="2"/>
        <v>425.99</v>
      </c>
      <c r="J12" s="7">
        <f t="shared" si="3"/>
        <v>0</v>
      </c>
      <c r="K12" s="21">
        <f t="shared" ref="K12" si="8">+H12*0.115</f>
        <v>617.85130000000004</v>
      </c>
      <c r="L12" s="21"/>
      <c r="M12" s="91">
        <f t="shared" ref="M12" si="9">+H12-I12+J12-K12-L12</f>
        <v>4328.7786999999998</v>
      </c>
      <c r="N12" s="11"/>
      <c r="O12" s="144">
        <v>45119</v>
      </c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7" ht="24.95" customHeight="1" x14ac:dyDescent="0.2">
      <c r="B13" t="s">
        <v>307</v>
      </c>
      <c r="D13" s="28" t="s">
        <v>459</v>
      </c>
      <c r="E13" s="110">
        <v>9657.48</v>
      </c>
      <c r="F13" s="39">
        <v>733.64</v>
      </c>
      <c r="G13" s="39"/>
      <c r="H13" s="7">
        <f t="shared" si="1"/>
        <v>4828.74</v>
      </c>
      <c r="I13" s="7">
        <f t="shared" si="2"/>
        <v>366.82</v>
      </c>
      <c r="J13" s="7">
        <f t="shared" si="3"/>
        <v>0</v>
      </c>
      <c r="K13" s="21">
        <f t="shared" si="5"/>
        <v>555.30510000000004</v>
      </c>
      <c r="L13" s="21"/>
      <c r="M13" s="91">
        <f t="shared" si="4"/>
        <v>3906.6149</v>
      </c>
      <c r="N13" s="11"/>
      <c r="O13" s="142">
        <v>44470</v>
      </c>
      <c r="P13" s="136"/>
      <c r="Q13" s="147"/>
      <c r="R13" s="136"/>
      <c r="S13" s="136"/>
      <c r="T13" s="136"/>
      <c r="U13" s="135"/>
      <c r="V13" s="135"/>
      <c r="W13" s="135"/>
      <c r="X13" s="135"/>
    </row>
    <row r="14" spans="1:27" ht="24.95" customHeight="1" x14ac:dyDescent="0.2">
      <c r="B14" s="2" t="s">
        <v>157</v>
      </c>
      <c r="C14" s="5"/>
      <c r="D14" s="54" t="s">
        <v>290</v>
      </c>
      <c r="E14" s="110">
        <v>14187.817500000001</v>
      </c>
      <c r="F14" s="39">
        <v>1407.24</v>
      </c>
      <c r="G14" s="39"/>
      <c r="H14" s="7">
        <f t="shared" si="1"/>
        <v>7093.9087500000005</v>
      </c>
      <c r="I14" s="7">
        <f t="shared" si="2"/>
        <v>703.62</v>
      </c>
      <c r="J14" s="7">
        <f t="shared" si="3"/>
        <v>0</v>
      </c>
      <c r="K14" s="21">
        <f t="shared" ref="K14" si="10">+H14*0.115</f>
        <v>815.79950625000015</v>
      </c>
      <c r="L14" s="21"/>
      <c r="M14" s="91">
        <f t="shared" si="4"/>
        <v>5574.4892437500002</v>
      </c>
      <c r="N14" s="11"/>
      <c r="O14" s="144">
        <v>43374</v>
      </c>
      <c r="P14" s="136"/>
      <c r="Q14" s="147"/>
      <c r="R14" s="136"/>
      <c r="S14" s="136"/>
      <c r="T14" s="143"/>
      <c r="U14" s="135"/>
      <c r="V14" s="135"/>
      <c r="W14" s="135"/>
      <c r="X14" s="135"/>
    </row>
    <row r="15" spans="1:27" s="51" customFormat="1" ht="24.95" customHeight="1" x14ac:dyDescent="0.2">
      <c r="A15"/>
      <c r="B15" t="s">
        <v>303</v>
      </c>
      <c r="C15"/>
      <c r="D15" s="106" t="s">
        <v>304</v>
      </c>
      <c r="E15" s="110">
        <v>6830.4676999999992</v>
      </c>
      <c r="F15" s="39">
        <v>172.52</v>
      </c>
      <c r="G15" s="39"/>
      <c r="H15" s="7">
        <f t="shared" si="1"/>
        <v>3415.2338499999996</v>
      </c>
      <c r="I15" s="7">
        <f t="shared" si="2"/>
        <v>86.26</v>
      </c>
      <c r="J15" s="7">
        <f t="shared" si="3"/>
        <v>0</v>
      </c>
      <c r="K15" s="21">
        <f t="shared" ref="K15:K17" si="11">+H15*0.115</f>
        <v>392.75189274999997</v>
      </c>
      <c r="L15" s="21"/>
      <c r="M15" s="91">
        <f t="shared" si="4"/>
        <v>2936.2219572499994</v>
      </c>
      <c r="N15" s="11"/>
      <c r="O15" s="146">
        <v>43675</v>
      </c>
      <c r="P15" s="137"/>
      <c r="Q15" s="147"/>
      <c r="R15" s="136"/>
      <c r="S15" s="136"/>
      <c r="T15" s="135"/>
      <c r="U15" s="135"/>
      <c r="V15" s="135"/>
      <c r="W15" s="135"/>
      <c r="X15" s="135"/>
      <c r="Y15"/>
      <c r="Z15"/>
      <c r="AA15"/>
    </row>
    <row r="16" spans="1:27" s="51" customFormat="1" ht="24.95" customHeight="1" x14ac:dyDescent="0.2">
      <c r="A16"/>
      <c r="B16" t="s">
        <v>158</v>
      </c>
      <c r="C16" s="5"/>
      <c r="D16" s="54" t="s">
        <v>71</v>
      </c>
      <c r="E16" s="110">
        <v>9647.7716499999988</v>
      </c>
      <c r="F16" s="39">
        <v>732.58</v>
      </c>
      <c r="G16" s="39"/>
      <c r="H16" s="7">
        <f t="shared" si="1"/>
        <v>4823.8858249999994</v>
      </c>
      <c r="I16" s="7">
        <f t="shared" si="2"/>
        <v>366.29</v>
      </c>
      <c r="J16" s="7">
        <f t="shared" si="3"/>
        <v>0</v>
      </c>
      <c r="K16" s="21">
        <f t="shared" si="11"/>
        <v>554.7468698749999</v>
      </c>
      <c r="L16" s="21"/>
      <c r="M16" s="91">
        <f t="shared" si="4"/>
        <v>3902.8489551249995</v>
      </c>
      <c r="N16" s="11"/>
      <c r="O16" s="144">
        <v>40179</v>
      </c>
      <c r="P16" s="136"/>
      <c r="Q16" s="147"/>
      <c r="R16" s="136"/>
      <c r="S16" s="136"/>
      <c r="T16" s="135"/>
      <c r="U16" s="135"/>
      <c r="V16" s="135"/>
      <c r="W16" s="135"/>
      <c r="X16" s="135"/>
      <c r="Y16"/>
      <c r="Z16"/>
      <c r="AA16"/>
    </row>
    <row r="17" spans="1:27" s="51" customFormat="1" ht="24.95" customHeight="1" x14ac:dyDescent="0.2">
      <c r="A17"/>
      <c r="B17" t="s">
        <v>550</v>
      </c>
      <c r="C17" s="5"/>
      <c r="D17" s="54" t="s">
        <v>311</v>
      </c>
      <c r="E17" s="110">
        <v>5541.51</v>
      </c>
      <c r="F17" s="39">
        <v>26.6</v>
      </c>
      <c r="G17" s="39"/>
      <c r="H17" s="7">
        <f t="shared" si="1"/>
        <v>2770.7550000000001</v>
      </c>
      <c r="I17" s="7">
        <f t="shared" si="2"/>
        <v>13.3</v>
      </c>
      <c r="J17" s="7">
        <f t="shared" si="3"/>
        <v>0</v>
      </c>
      <c r="K17" s="21">
        <f t="shared" si="11"/>
        <v>318.63682500000004</v>
      </c>
      <c r="L17" s="21"/>
      <c r="M17" s="91">
        <f t="shared" si="4"/>
        <v>2438.8181749999999</v>
      </c>
      <c r="N17" s="11"/>
      <c r="O17" s="144">
        <v>45348</v>
      </c>
      <c r="P17" s="136"/>
      <c r="Q17" s="147"/>
      <c r="R17" s="147"/>
      <c r="S17" s="147"/>
      <c r="T17" s="147"/>
      <c r="U17" s="147"/>
      <c r="V17" s="136"/>
      <c r="W17" s="135"/>
      <c r="X17" s="135"/>
      <c r="Y17"/>
      <c r="Z17"/>
      <c r="AA17"/>
    </row>
    <row r="18" spans="1:27" ht="24.95" customHeight="1" x14ac:dyDescent="0.2">
      <c r="B18" s="2" t="s">
        <v>314</v>
      </c>
      <c r="C18" s="2"/>
      <c r="D18" s="3" t="s">
        <v>315</v>
      </c>
      <c r="E18" s="110">
        <v>11274.556649999999</v>
      </c>
      <c r="F18" s="39">
        <v>917.08</v>
      </c>
      <c r="G18" s="39"/>
      <c r="H18" s="7">
        <f t="shared" si="1"/>
        <v>5637.2783249999993</v>
      </c>
      <c r="I18" s="7">
        <f t="shared" si="2"/>
        <v>458.54</v>
      </c>
      <c r="J18" s="7">
        <f t="shared" si="3"/>
        <v>0</v>
      </c>
      <c r="K18" s="7">
        <f t="shared" si="5"/>
        <v>648.28700737499992</v>
      </c>
      <c r="L18" s="7">
        <v>1025</v>
      </c>
      <c r="M18" s="91">
        <f t="shared" si="4"/>
        <v>3505.4513176249993</v>
      </c>
      <c r="N18" s="11"/>
      <c r="O18" s="142">
        <v>44470</v>
      </c>
      <c r="P18" s="135"/>
      <c r="Q18" s="144"/>
      <c r="R18" s="150"/>
      <c r="S18" s="135"/>
      <c r="T18" s="135"/>
      <c r="U18" s="135"/>
      <c r="V18" s="135"/>
      <c r="W18" s="135"/>
      <c r="X18" s="135"/>
    </row>
    <row r="19" spans="1:27" ht="24.75" customHeight="1" x14ac:dyDescent="0.2">
      <c r="B19" s="51" t="s">
        <v>185</v>
      </c>
      <c r="C19" s="75"/>
      <c r="D19" s="86" t="s">
        <v>78</v>
      </c>
      <c r="E19" s="111">
        <v>22269.5828</v>
      </c>
      <c r="F19" s="39">
        <v>3088.79</v>
      </c>
      <c r="G19" s="39"/>
      <c r="H19" s="7">
        <f t="shared" si="1"/>
        <v>11134.7914</v>
      </c>
      <c r="I19" s="7">
        <f t="shared" si="2"/>
        <v>1544.395</v>
      </c>
      <c r="J19" s="7">
        <f t="shared" si="3"/>
        <v>0</v>
      </c>
      <c r="K19" s="21">
        <f t="shared" si="5"/>
        <v>1280.5010110000001</v>
      </c>
      <c r="L19" s="21">
        <v>1128</v>
      </c>
      <c r="M19" s="91">
        <f t="shared" si="4"/>
        <v>7181.8953889999993</v>
      </c>
      <c r="N19" s="11"/>
      <c r="O19" s="144">
        <v>43374</v>
      </c>
      <c r="P19" s="147"/>
      <c r="Q19" s="137"/>
      <c r="R19" s="135"/>
      <c r="S19" s="135"/>
      <c r="T19" s="148"/>
      <c r="U19" s="135"/>
      <c r="V19" s="135"/>
      <c r="W19" s="135"/>
      <c r="X19" s="135"/>
    </row>
    <row r="20" spans="1:27" ht="24.95" customHeight="1" x14ac:dyDescent="0.2">
      <c r="B20" s="2" t="s">
        <v>204</v>
      </c>
      <c r="C20" s="5"/>
      <c r="D20" s="28" t="s">
        <v>257</v>
      </c>
      <c r="E20" s="110">
        <v>15180.3236</v>
      </c>
      <c r="F20" s="39">
        <v>1585.09</v>
      </c>
      <c r="G20" s="39"/>
      <c r="H20" s="7">
        <f t="shared" si="1"/>
        <v>7590.1617999999999</v>
      </c>
      <c r="I20" s="7">
        <f t="shared" si="2"/>
        <v>792.54499999999996</v>
      </c>
      <c r="J20" s="7">
        <f t="shared" si="3"/>
        <v>0</v>
      </c>
      <c r="K20" s="7">
        <f t="shared" si="5"/>
        <v>872.868607</v>
      </c>
      <c r="L20" s="7"/>
      <c r="M20" s="91">
        <f t="shared" si="4"/>
        <v>5924.7481929999994</v>
      </c>
      <c r="N20" s="11"/>
      <c r="O20" s="144">
        <v>43374</v>
      </c>
      <c r="P20" s="135"/>
      <c r="Q20" s="135"/>
      <c r="R20" s="150"/>
      <c r="S20" s="135"/>
      <c r="T20" s="135"/>
      <c r="U20" s="135"/>
      <c r="V20" s="135"/>
      <c r="W20" s="135"/>
      <c r="X20" s="135"/>
    </row>
    <row r="21" spans="1:27" ht="24.95" customHeight="1" x14ac:dyDescent="0.2">
      <c r="B21" s="2" t="s">
        <v>310</v>
      </c>
      <c r="C21" s="2"/>
      <c r="D21" s="92" t="s">
        <v>311</v>
      </c>
      <c r="E21" s="110">
        <v>5541.5054</v>
      </c>
      <c r="F21" s="39">
        <v>26.6</v>
      </c>
      <c r="G21" s="39"/>
      <c r="H21" s="7">
        <f t="shared" si="1"/>
        <v>2770.7527</v>
      </c>
      <c r="I21" s="7">
        <f t="shared" si="2"/>
        <v>13.3</v>
      </c>
      <c r="J21" s="7">
        <f t="shared" si="3"/>
        <v>0</v>
      </c>
      <c r="K21" s="7">
        <f t="shared" si="5"/>
        <v>318.63656050000003</v>
      </c>
      <c r="L21" s="7"/>
      <c r="M21" s="91">
        <f t="shared" si="4"/>
        <v>2438.8161394999997</v>
      </c>
      <c r="N21" s="11"/>
      <c r="O21" s="146">
        <v>44396</v>
      </c>
      <c r="P21" s="135"/>
      <c r="Q21" s="135"/>
      <c r="R21" s="150"/>
      <c r="S21" s="135"/>
      <c r="T21" s="135"/>
      <c r="U21" s="135"/>
      <c r="V21" s="135"/>
      <c r="W21" s="135"/>
      <c r="X21" s="135"/>
    </row>
    <row r="22" spans="1:27" ht="24.95" customHeight="1" x14ac:dyDescent="0.25">
      <c r="A22" s="90">
        <v>43511</v>
      </c>
      <c r="B22" t="s">
        <v>299</v>
      </c>
      <c r="D22" s="106" t="s">
        <v>256</v>
      </c>
      <c r="E22" s="110">
        <v>6445.7480999999998</v>
      </c>
      <c r="F22" s="39">
        <v>130.66</v>
      </c>
      <c r="G22" s="39"/>
      <c r="H22" s="7">
        <f t="shared" si="1"/>
        <v>3222.8740499999999</v>
      </c>
      <c r="I22" s="7">
        <f t="shared" si="2"/>
        <v>65.33</v>
      </c>
      <c r="J22" s="7">
        <f t="shared" si="3"/>
        <v>0</v>
      </c>
      <c r="K22" s="21">
        <f t="shared" si="5"/>
        <v>370.63051575000003</v>
      </c>
      <c r="L22" s="21"/>
      <c r="M22" s="91">
        <f t="shared" si="4"/>
        <v>2786.9135342499999</v>
      </c>
      <c r="N22" s="11"/>
      <c r="O22" s="142">
        <v>43374</v>
      </c>
      <c r="P22" s="137"/>
      <c r="Q22" s="147"/>
      <c r="R22" s="136"/>
      <c r="S22" s="136"/>
      <c r="T22" s="135"/>
      <c r="U22" s="135"/>
      <c r="V22" s="135"/>
      <c r="W22" s="135"/>
      <c r="X22" s="135"/>
    </row>
    <row r="23" spans="1:27" ht="24.95" customHeight="1" x14ac:dyDescent="0.2">
      <c r="A23" s="81">
        <v>43770</v>
      </c>
      <c r="B23" t="s">
        <v>297</v>
      </c>
      <c r="D23" s="106" t="s">
        <v>246</v>
      </c>
      <c r="E23" s="110">
        <v>8625.3612499999999</v>
      </c>
      <c r="F23" s="39">
        <v>621.34</v>
      </c>
      <c r="G23" s="39"/>
      <c r="H23" s="7">
        <f t="shared" si="1"/>
        <v>4312.680625</v>
      </c>
      <c r="I23" s="7">
        <f t="shared" si="2"/>
        <v>310.67</v>
      </c>
      <c r="J23" s="7">
        <f t="shared" si="3"/>
        <v>0</v>
      </c>
      <c r="K23" s="21">
        <f t="shared" si="5"/>
        <v>495.95827187500004</v>
      </c>
      <c r="L23" s="21"/>
      <c r="M23" s="91">
        <f t="shared" si="4"/>
        <v>3506.0523531250001</v>
      </c>
      <c r="N23" s="11"/>
      <c r="O23" s="146">
        <v>44288</v>
      </c>
      <c r="P23" s="136"/>
      <c r="Q23" s="147"/>
      <c r="R23" s="136"/>
      <c r="S23" s="136"/>
      <c r="T23" s="135"/>
      <c r="U23" s="135"/>
      <c r="V23" s="135"/>
      <c r="W23" s="135"/>
      <c r="X23" s="135"/>
    </row>
    <row r="24" spans="1:27" ht="24.95" customHeight="1" x14ac:dyDescent="0.2">
      <c r="A24" s="81"/>
      <c r="B24" t="s">
        <v>397</v>
      </c>
      <c r="D24" s="106" t="s">
        <v>298</v>
      </c>
      <c r="E24" s="27">
        <v>6125.98</v>
      </c>
      <c r="F24" s="39">
        <v>64.010000000000005</v>
      </c>
      <c r="G24" s="39"/>
      <c r="H24" s="7">
        <f t="shared" si="1"/>
        <v>3062.99</v>
      </c>
      <c r="I24" s="7">
        <f t="shared" si="2"/>
        <v>32.005000000000003</v>
      </c>
      <c r="J24" s="7">
        <f t="shared" si="3"/>
        <v>0</v>
      </c>
      <c r="K24" s="21"/>
      <c r="L24" s="21"/>
      <c r="M24" s="91">
        <f>+H24-I24+J24-K24-L24</f>
        <v>3030.9849999999997</v>
      </c>
      <c r="N24" s="11"/>
      <c r="O24" s="146">
        <v>44613</v>
      </c>
      <c r="P24" s="135"/>
      <c r="Q24" s="135"/>
      <c r="R24" s="136"/>
      <c r="S24" s="136"/>
      <c r="T24" s="135"/>
      <c r="U24" s="135"/>
      <c r="V24" s="135"/>
      <c r="W24" s="135"/>
      <c r="X24" s="135"/>
    </row>
    <row r="25" spans="1:27" ht="21.95" customHeight="1" x14ac:dyDescent="0.2">
      <c r="D25" s="25" t="s">
        <v>9</v>
      </c>
      <c r="E25" s="26">
        <f t="shared" ref="E25:M25" si="12">SUM(E7:E24)</f>
        <v>194149.61849999998</v>
      </c>
      <c r="F25" s="26">
        <f t="shared" si="12"/>
        <v>16703.559999999998</v>
      </c>
      <c r="G25" s="26">
        <f t="shared" si="12"/>
        <v>0</v>
      </c>
      <c r="H25" s="26">
        <f t="shared" si="12"/>
        <v>97074.809249999991</v>
      </c>
      <c r="I25" s="26">
        <f t="shared" si="12"/>
        <v>8351.7799999999988</v>
      </c>
      <c r="J25" s="26">
        <f t="shared" si="12"/>
        <v>0</v>
      </c>
      <c r="K25" s="26">
        <f t="shared" si="12"/>
        <v>10229.93588875</v>
      </c>
      <c r="L25" s="26">
        <f t="shared" si="12"/>
        <v>2153</v>
      </c>
      <c r="M25" s="26">
        <f t="shared" si="12"/>
        <v>76340.093361249994</v>
      </c>
      <c r="O25" s="135"/>
      <c r="P25" s="135"/>
      <c r="Q25" s="135"/>
      <c r="R25" s="150"/>
      <c r="S25" s="135"/>
      <c r="T25" s="135"/>
      <c r="U25" s="135"/>
      <c r="V25" s="135"/>
      <c r="W25" s="135"/>
      <c r="X25" s="135"/>
    </row>
    <row r="26" spans="1:27" ht="21.95" customHeight="1" x14ac:dyDescent="0.2"/>
    <row r="29" spans="1:27" x14ac:dyDescent="0.2">
      <c r="R29" s="26"/>
    </row>
    <row r="30" spans="1:27" x14ac:dyDescent="0.2">
      <c r="D30" s="8"/>
    </row>
  </sheetData>
  <sortState ref="B8:N21">
    <sortCondition ref="B8:B21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V52"/>
  <sheetViews>
    <sheetView topLeftCell="B1" zoomScale="80" zoomScaleNormal="80" workbookViewId="0">
      <selection activeCell="P8" sqref="P8:AC41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1.42578125" style="39"/>
    <col min="16" max="16" width="15.42578125" customWidth="1"/>
    <col min="17" max="17" width="25.28515625" style="13" bestFit="1" customWidth="1"/>
    <col min="18" max="18" width="21.42578125" bestFit="1" customWidth="1"/>
    <col min="19" max="19" width="12.140625" bestFit="1" customWidth="1"/>
    <col min="20" max="20" width="11.28515625" bestFit="1" customWidth="1"/>
  </cols>
  <sheetData>
    <row r="1" spans="2:19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59"/>
      <c r="O1" s="158"/>
      <c r="P1" s="158"/>
      <c r="Q1" s="160"/>
    </row>
    <row r="2" spans="2:19" ht="15" x14ac:dyDescent="0.25">
      <c r="E2" s="15" t="s">
        <v>74</v>
      </c>
      <c r="F2" s="13"/>
      <c r="G2" s="13"/>
      <c r="H2" s="13"/>
      <c r="I2" s="15"/>
      <c r="J2" s="13"/>
      <c r="K2" s="13"/>
      <c r="L2" s="13"/>
      <c r="M2" s="16" t="str">
        <f>PRESIDENCIA!N2</f>
        <v>31 DE JULIO DE 2024</v>
      </c>
      <c r="N2" s="161"/>
      <c r="O2" s="158"/>
      <c r="P2" s="158"/>
      <c r="Q2" s="160"/>
    </row>
    <row r="3" spans="2:19" x14ac:dyDescent="0.2">
      <c r="E3" s="16" t="str">
        <f>PRESIDENCIA!E3</f>
        <v>SEGUNDA QUINCENA DE JULIO DE 2024</v>
      </c>
      <c r="F3" s="13"/>
      <c r="G3" s="13"/>
      <c r="H3" s="13"/>
      <c r="I3" s="16"/>
      <c r="J3" s="13"/>
      <c r="K3" s="13"/>
      <c r="L3" s="13"/>
      <c r="N3" s="158"/>
      <c r="O3" s="158"/>
      <c r="P3" s="158"/>
      <c r="Q3" s="160"/>
    </row>
    <row r="4" spans="2:19" ht="1.5" customHeight="1" x14ac:dyDescent="0.2">
      <c r="E4" s="43"/>
      <c r="F4" s="13"/>
      <c r="G4" s="13"/>
      <c r="H4" s="13"/>
      <c r="I4" s="43"/>
      <c r="J4" s="13"/>
      <c r="K4" s="13"/>
      <c r="L4" s="13"/>
      <c r="N4" s="158"/>
      <c r="O4" s="158"/>
      <c r="P4" s="158"/>
      <c r="Q4" s="160"/>
    </row>
    <row r="5" spans="2:19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18" t="s">
        <v>4</v>
      </c>
      <c r="H5" s="18" t="s">
        <v>29</v>
      </c>
      <c r="I5" s="45" t="s">
        <v>33</v>
      </c>
      <c r="J5" s="102" t="s">
        <v>400</v>
      </c>
      <c r="K5" s="113" t="s">
        <v>496</v>
      </c>
      <c r="L5" s="18" t="s">
        <v>5</v>
      </c>
      <c r="M5" s="17" t="s">
        <v>6</v>
      </c>
      <c r="N5" s="162" t="s">
        <v>365</v>
      </c>
      <c r="O5" s="158"/>
      <c r="P5" s="162"/>
      <c r="Q5" s="160"/>
    </row>
    <row r="6" spans="2:19" ht="1.5" customHeight="1" x14ac:dyDescent="0.2">
      <c r="E6" s="39"/>
      <c r="F6" s="39"/>
      <c r="N6" s="158"/>
      <c r="O6" s="158"/>
      <c r="P6" s="158"/>
      <c r="Q6" s="160"/>
    </row>
    <row r="7" spans="2:19" ht="38.25" x14ac:dyDescent="0.2">
      <c r="B7" s="51" t="s">
        <v>111</v>
      </c>
      <c r="C7" s="51"/>
      <c r="D7" s="86" t="s">
        <v>326</v>
      </c>
      <c r="E7" s="111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42">
        <v>44470</v>
      </c>
      <c r="O7" s="158">
        <f>+E7/30.42</f>
        <v>871.89811143984218</v>
      </c>
      <c r="P7" s="142"/>
      <c r="Q7" s="163"/>
    </row>
    <row r="8" spans="2:19" ht="24.75" customHeight="1" x14ac:dyDescent="0.2">
      <c r="B8" s="51" t="s">
        <v>160</v>
      </c>
      <c r="C8" s="75"/>
      <c r="D8" s="86" t="s">
        <v>258</v>
      </c>
      <c r="E8" s="111">
        <v>7472.3063000000002</v>
      </c>
      <c r="F8" s="39">
        <v>495.89</v>
      </c>
      <c r="G8" s="7">
        <f t="shared" ref="G8:G43" si="1">+E8/2</f>
        <v>3736.1531500000001</v>
      </c>
      <c r="H8" s="7">
        <f t="shared" ref="H8:H43" si="2">+F8/2</f>
        <v>247.94499999999999</v>
      </c>
      <c r="I8" s="7"/>
      <c r="J8" s="7">
        <f t="shared" ref="J8:J41" si="3">+G8*0.115</f>
        <v>429.65761225000006</v>
      </c>
      <c r="K8" s="7"/>
      <c r="L8" s="7">
        <f t="shared" ref="L8:L43" si="4">G8-H8+I8-J8-K8</f>
        <v>3058.5505377499999</v>
      </c>
      <c r="M8" s="11"/>
      <c r="N8" s="142">
        <v>42286</v>
      </c>
      <c r="O8" s="158">
        <f t="shared" ref="O8:O42" si="5">+E8/30.42</f>
        <v>245.63794543063773</v>
      </c>
      <c r="P8" s="158"/>
      <c r="Q8" s="158"/>
      <c r="S8" s="53"/>
    </row>
    <row r="9" spans="2:19" ht="24.75" customHeight="1" x14ac:dyDescent="0.2">
      <c r="B9" s="51" t="s">
        <v>248</v>
      </c>
      <c r="C9" s="75"/>
      <c r="D9" s="86" t="s">
        <v>390</v>
      </c>
      <c r="E9" s="111">
        <v>13478.889350000001</v>
      </c>
      <c r="F9" s="39">
        <v>1280.2</v>
      </c>
      <c r="G9" s="7">
        <f t="shared" si="1"/>
        <v>6739.4446750000006</v>
      </c>
      <c r="H9" s="7">
        <f t="shared" si="2"/>
        <v>640.1</v>
      </c>
      <c r="I9" s="7"/>
      <c r="J9" s="7">
        <f t="shared" ref="J9" si="6">+G9*0.115</f>
        <v>775.03613762500015</v>
      </c>
      <c r="K9" s="7">
        <v>1284</v>
      </c>
      <c r="L9" s="7">
        <f t="shared" ref="L9" si="7">G9-H9+I9-J9-K9</f>
        <v>4040.308537375</v>
      </c>
      <c r="M9" s="11"/>
      <c r="N9" s="142">
        <v>44028</v>
      </c>
      <c r="O9" s="158">
        <f t="shared" si="5"/>
        <v>443.09300953320184</v>
      </c>
      <c r="P9" s="158"/>
      <c r="Q9" s="158"/>
      <c r="S9" s="53"/>
    </row>
    <row r="10" spans="2:19" ht="24.75" customHeight="1" x14ac:dyDescent="0.2">
      <c r="B10" s="51" t="s">
        <v>321</v>
      </c>
      <c r="C10" s="51"/>
      <c r="D10" s="88" t="s">
        <v>322</v>
      </c>
      <c r="E10" s="111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1181</v>
      </c>
      <c r="L10" s="7">
        <f t="shared" si="4"/>
        <v>2826.9479772499999</v>
      </c>
      <c r="M10" s="11"/>
      <c r="N10" s="146">
        <v>44298</v>
      </c>
      <c r="O10" s="158">
        <f t="shared" si="5"/>
        <v>326.05429651545035</v>
      </c>
      <c r="P10" s="142"/>
      <c r="Q10" s="158"/>
      <c r="S10" s="53"/>
    </row>
    <row r="11" spans="2:19" ht="24.75" customHeight="1" x14ac:dyDescent="0.2">
      <c r="B11" s="51" t="s">
        <v>197</v>
      </c>
      <c r="C11" s="75"/>
      <c r="D11" s="86" t="s">
        <v>236</v>
      </c>
      <c r="E11" s="111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142">
        <v>38930</v>
      </c>
      <c r="O11" s="158">
        <f t="shared" si="5"/>
        <v>443.09300953320184</v>
      </c>
      <c r="P11" s="163"/>
      <c r="Q11" s="163"/>
      <c r="S11" s="53"/>
    </row>
    <row r="12" spans="2:19" ht="24.75" customHeight="1" x14ac:dyDescent="0.2">
      <c r="B12" s="51" t="s">
        <v>558</v>
      </c>
      <c r="C12" s="75"/>
      <c r="D12" s="86" t="s">
        <v>354</v>
      </c>
      <c r="E12" s="111">
        <v>10133.68</v>
      </c>
      <c r="F12" s="39">
        <v>785.45</v>
      </c>
      <c r="G12" s="7">
        <f t="shared" si="1"/>
        <v>5066.84</v>
      </c>
      <c r="H12" s="7">
        <f t="shared" si="2"/>
        <v>392.72500000000002</v>
      </c>
      <c r="I12" s="7"/>
      <c r="J12" s="7">
        <f>+G12*0.115</f>
        <v>582.6866</v>
      </c>
      <c r="K12" s="7"/>
      <c r="L12" s="7">
        <f t="shared" si="4"/>
        <v>4091.4283999999998</v>
      </c>
      <c r="M12" s="11"/>
      <c r="N12" s="142">
        <v>45408</v>
      </c>
      <c r="O12" s="158">
        <f t="shared" si="5"/>
        <v>333.12557527942141</v>
      </c>
      <c r="P12" s="163"/>
      <c r="Q12" s="163"/>
      <c r="S12" s="53"/>
    </row>
    <row r="13" spans="2:19" ht="24.75" customHeight="1" x14ac:dyDescent="0.2">
      <c r="B13" s="51" t="s">
        <v>191</v>
      </c>
      <c r="C13" s="75"/>
      <c r="D13" s="86" t="s">
        <v>489</v>
      </c>
      <c r="E13" s="111">
        <v>12724.5</v>
      </c>
      <c r="F13" s="39">
        <v>1149.07</v>
      </c>
      <c r="G13" s="7">
        <f t="shared" si="1"/>
        <v>6362.25</v>
      </c>
      <c r="H13" s="7">
        <f t="shared" si="2"/>
        <v>574.53499999999997</v>
      </c>
      <c r="I13" s="7"/>
      <c r="J13" s="7">
        <f t="shared" si="3"/>
        <v>731.65875000000005</v>
      </c>
      <c r="K13" s="7">
        <v>711</v>
      </c>
      <c r="L13" s="7">
        <f t="shared" si="4"/>
        <v>4345.0562499999996</v>
      </c>
      <c r="M13" s="11"/>
      <c r="N13" s="142">
        <v>37469</v>
      </c>
      <c r="O13" s="158">
        <f t="shared" si="5"/>
        <v>418.29388560157787</v>
      </c>
      <c r="P13" s="158"/>
      <c r="Q13" s="158"/>
      <c r="S13" s="53"/>
    </row>
    <row r="14" spans="2:19" ht="24.75" customHeight="1" x14ac:dyDescent="0.2">
      <c r="B14" s="51" t="s">
        <v>546</v>
      </c>
      <c r="C14" s="75"/>
      <c r="D14" s="54" t="s">
        <v>241</v>
      </c>
      <c r="E14" s="110">
        <v>11622.091</v>
      </c>
      <c r="F14" s="39">
        <v>972.68</v>
      </c>
      <c r="G14" s="7">
        <f t="shared" si="1"/>
        <v>5811.0455000000002</v>
      </c>
      <c r="H14" s="7">
        <f t="shared" si="2"/>
        <v>486.34</v>
      </c>
      <c r="I14" s="7"/>
      <c r="J14" s="7">
        <f t="shared" ref="J14" si="8">+G14*0.115</f>
        <v>668.27023250000002</v>
      </c>
      <c r="K14" s="7"/>
      <c r="L14" s="7">
        <f>G14-H14+I14-J14-K14</f>
        <v>4656.4352675</v>
      </c>
      <c r="M14" s="11"/>
      <c r="N14" s="142">
        <v>45320</v>
      </c>
      <c r="O14" s="158">
        <f t="shared" si="5"/>
        <v>382.05427350427351</v>
      </c>
      <c r="P14" s="158"/>
      <c r="Q14" s="158"/>
      <c r="R14" s="53"/>
    </row>
    <row r="15" spans="2:19" ht="24.75" customHeight="1" x14ac:dyDescent="0.2">
      <c r="B15" s="51" t="s">
        <v>540</v>
      </c>
      <c r="C15" s="75"/>
      <c r="D15" s="86" t="s">
        <v>458</v>
      </c>
      <c r="E15" s="111">
        <v>11274.56</v>
      </c>
      <c r="F15" s="39">
        <v>917.08</v>
      </c>
      <c r="G15" s="7">
        <f t="shared" si="1"/>
        <v>5637.28</v>
      </c>
      <c r="H15" s="7">
        <f t="shared" si="2"/>
        <v>458.54</v>
      </c>
      <c r="I15" s="7"/>
      <c r="J15" s="7">
        <f t="shared" si="3"/>
        <v>648.28719999999998</v>
      </c>
      <c r="K15" s="7"/>
      <c r="L15" s="7">
        <f t="shared" ref="L15" si="9">G15-H15+I15-J15-K15</f>
        <v>4530.4528</v>
      </c>
      <c r="M15" s="11"/>
      <c r="N15" s="142">
        <v>45292</v>
      </c>
      <c r="O15" s="158">
        <f t="shared" si="5"/>
        <v>370.62984878369491</v>
      </c>
      <c r="P15" s="158"/>
      <c r="Q15" s="158"/>
      <c r="S15" s="53"/>
    </row>
    <row r="16" spans="2:19" ht="24.75" customHeight="1" x14ac:dyDescent="0.2">
      <c r="B16" s="51" t="s">
        <v>457</v>
      </c>
      <c r="C16" s="75"/>
      <c r="D16" s="86" t="s">
        <v>458</v>
      </c>
      <c r="E16" s="111">
        <v>11274.56</v>
      </c>
      <c r="F16" s="39">
        <v>917.08</v>
      </c>
      <c r="G16" s="7">
        <f t="shared" si="1"/>
        <v>5637.28</v>
      </c>
      <c r="H16" s="7">
        <f t="shared" si="2"/>
        <v>458.54</v>
      </c>
      <c r="I16" s="7"/>
      <c r="J16" s="7">
        <f t="shared" ref="J16" si="10">+G16*0.115</f>
        <v>648.28719999999998</v>
      </c>
      <c r="K16" s="7">
        <v>1074</v>
      </c>
      <c r="L16" s="7">
        <f t="shared" si="4"/>
        <v>3456.4528</v>
      </c>
      <c r="M16" s="11"/>
      <c r="N16" s="142">
        <v>44725</v>
      </c>
      <c r="O16" s="158">
        <f t="shared" si="5"/>
        <v>370.62984878369491</v>
      </c>
      <c r="P16" s="163"/>
      <c r="Q16" s="163"/>
      <c r="R16" s="69"/>
      <c r="S16" s="53"/>
    </row>
    <row r="17" spans="1:19" ht="24.75" customHeight="1" x14ac:dyDescent="0.2">
      <c r="B17" s="51" t="s">
        <v>465</v>
      </c>
      <c r="C17" s="75"/>
      <c r="D17" s="86" t="s">
        <v>409</v>
      </c>
      <c r="E17" s="111">
        <v>7287.2386000000006</v>
      </c>
      <c r="F17" s="39">
        <v>258.14</v>
      </c>
      <c r="G17" s="7">
        <f t="shared" si="1"/>
        <v>3643.6193000000003</v>
      </c>
      <c r="H17" s="7">
        <f t="shared" si="2"/>
        <v>129.07</v>
      </c>
      <c r="I17" s="7"/>
      <c r="J17" s="7">
        <f t="shared" si="3"/>
        <v>419.01621950000003</v>
      </c>
      <c r="K17" s="7"/>
      <c r="L17" s="7">
        <f t="shared" si="4"/>
        <v>3095.5330805000003</v>
      </c>
      <c r="M17" s="11"/>
      <c r="N17" s="142">
        <v>44743</v>
      </c>
      <c r="O17" s="158">
        <f t="shared" si="5"/>
        <v>239.55419460881001</v>
      </c>
      <c r="P17" s="163"/>
      <c r="Q17" s="163"/>
      <c r="R17" s="69"/>
      <c r="S17" s="53"/>
    </row>
    <row r="18" spans="1:19" ht="24.75" customHeight="1" x14ac:dyDescent="0.2">
      <c r="B18" s="51" t="s">
        <v>188</v>
      </c>
      <c r="C18" s="75"/>
      <c r="D18" s="86" t="s">
        <v>485</v>
      </c>
      <c r="E18" s="111">
        <v>12597.34</v>
      </c>
      <c r="F18" s="39">
        <v>1128.72</v>
      </c>
      <c r="G18" s="7">
        <f t="shared" si="1"/>
        <v>6298.67</v>
      </c>
      <c r="H18" s="7">
        <f t="shared" si="2"/>
        <v>564.36</v>
      </c>
      <c r="I18" s="7"/>
      <c r="J18" s="7">
        <f t="shared" si="3"/>
        <v>724.34705000000008</v>
      </c>
      <c r="K18" s="7">
        <v>407</v>
      </c>
      <c r="L18" s="7">
        <f t="shared" si="4"/>
        <v>4602.9629500000001</v>
      </c>
      <c r="M18" s="11"/>
      <c r="N18" s="142">
        <v>42278</v>
      </c>
      <c r="O18" s="158">
        <f t="shared" si="5"/>
        <v>414.11374095989481</v>
      </c>
      <c r="P18" s="158"/>
      <c r="Q18" s="158"/>
      <c r="S18" s="53"/>
    </row>
    <row r="19" spans="1:19" ht="24.75" customHeight="1" x14ac:dyDescent="0.2">
      <c r="B19" s="51" t="s">
        <v>235</v>
      </c>
      <c r="C19" s="75"/>
      <c r="D19" s="86" t="s">
        <v>246</v>
      </c>
      <c r="E19" s="111">
        <v>8625.3612499999999</v>
      </c>
      <c r="F19" s="39">
        <v>621.34</v>
      </c>
      <c r="G19" s="7">
        <f t="shared" si="1"/>
        <v>4312.680625</v>
      </c>
      <c r="H19" s="7">
        <f t="shared" si="2"/>
        <v>310.67</v>
      </c>
      <c r="I19" s="7"/>
      <c r="J19" s="7">
        <f t="shared" si="3"/>
        <v>495.95827187500004</v>
      </c>
      <c r="K19" s="7"/>
      <c r="L19" s="7">
        <f t="shared" si="4"/>
        <v>3506.0523531250001</v>
      </c>
      <c r="M19" s="11"/>
      <c r="N19" s="142">
        <v>43374</v>
      </c>
      <c r="O19" s="158">
        <f t="shared" si="5"/>
        <v>283.54244740302431</v>
      </c>
      <c r="P19" s="158"/>
      <c r="Q19" s="158"/>
      <c r="S19" s="53"/>
    </row>
    <row r="20" spans="1:19" ht="24.75" customHeight="1" x14ac:dyDescent="0.2">
      <c r="B20" s="51" t="s">
        <v>317</v>
      </c>
      <c r="C20" s="75"/>
      <c r="D20" s="86" t="s">
        <v>81</v>
      </c>
      <c r="E20" s="111">
        <v>13478.889350000001</v>
      </c>
      <c r="F20" s="39">
        <v>1280.2</v>
      </c>
      <c r="G20" s="7">
        <f t="shared" si="1"/>
        <v>6739.4446750000006</v>
      </c>
      <c r="H20" s="7">
        <f t="shared" si="2"/>
        <v>640.1</v>
      </c>
      <c r="I20" s="7"/>
      <c r="J20" s="7">
        <f t="shared" si="3"/>
        <v>775.03613762500015</v>
      </c>
      <c r="K20" s="7"/>
      <c r="L20" s="7">
        <f t="shared" si="4"/>
        <v>5324.308537375</v>
      </c>
      <c r="M20" s="11"/>
      <c r="N20" s="142">
        <v>37956</v>
      </c>
      <c r="O20" s="158">
        <f t="shared" si="5"/>
        <v>443.09300953320184</v>
      </c>
      <c r="P20" s="158"/>
      <c r="Q20" s="158"/>
      <c r="S20" s="53"/>
    </row>
    <row r="21" spans="1:19" ht="25.5" customHeight="1" x14ac:dyDescent="0.2">
      <c r="A21" s="9"/>
      <c r="B21" s="2" t="s">
        <v>515</v>
      </c>
      <c r="C21" s="5"/>
      <c r="D21" s="82" t="s">
        <v>322</v>
      </c>
      <c r="E21" s="110">
        <v>9918.5717000000004</v>
      </c>
      <c r="F21" s="39">
        <v>762.04</v>
      </c>
      <c r="G21" s="7">
        <f t="shared" si="1"/>
        <v>4959.2858500000002</v>
      </c>
      <c r="H21" s="7">
        <f t="shared" si="2"/>
        <v>381.02</v>
      </c>
      <c r="I21" s="7"/>
      <c r="J21" s="7">
        <f t="shared" ref="J21" si="11">+G21*0.115</f>
        <v>570.31787274999999</v>
      </c>
      <c r="K21" s="61">
        <v>1063</v>
      </c>
      <c r="L21" s="61">
        <f t="shared" ref="L21" si="12">G21-H21+I21-J21-K21</f>
        <v>2944.9479772499999</v>
      </c>
      <c r="M21" s="11"/>
      <c r="N21" s="142">
        <v>45093</v>
      </c>
      <c r="O21" s="158">
        <f t="shared" si="5"/>
        <v>326.05429651545035</v>
      </c>
      <c r="P21" s="164"/>
      <c r="Q21" s="164"/>
      <c r="R21" s="26"/>
    </row>
    <row r="22" spans="1:19" ht="24.95" customHeight="1" x14ac:dyDescent="0.2">
      <c r="B22" s="10" t="s">
        <v>513</v>
      </c>
      <c r="C22" s="83"/>
      <c r="D22" s="106" t="s">
        <v>241</v>
      </c>
      <c r="E22" s="110">
        <v>7670.085</v>
      </c>
      <c r="F22" s="39">
        <v>517.41</v>
      </c>
      <c r="G22" s="7">
        <f t="shared" si="1"/>
        <v>3835.0425</v>
      </c>
      <c r="H22" s="7">
        <f t="shared" si="2"/>
        <v>258.70499999999998</v>
      </c>
      <c r="I22" s="7"/>
      <c r="J22" s="21">
        <f t="shared" ref="J22" si="13">+G22*0.115</f>
        <v>441.02988750000003</v>
      </c>
      <c r="K22" s="21"/>
      <c r="L22" s="7">
        <f t="shared" ref="L22" si="14">G22-H22+I22-J22-K22</f>
        <v>3135.3076125000002</v>
      </c>
      <c r="M22" s="11"/>
      <c r="N22" s="142">
        <v>44935</v>
      </c>
      <c r="O22" s="158">
        <f t="shared" si="5"/>
        <v>252.13954635108479</v>
      </c>
      <c r="P22" s="163"/>
      <c r="Q22" s="163"/>
      <c r="R22" s="24"/>
      <c r="S22" s="24"/>
    </row>
    <row r="23" spans="1:19" ht="24.75" customHeight="1" x14ac:dyDescent="0.2">
      <c r="B23" s="51" t="s">
        <v>181</v>
      </c>
      <c r="C23" s="75"/>
      <c r="D23" s="86" t="s">
        <v>354</v>
      </c>
      <c r="E23" s="111">
        <v>11299.0532</v>
      </c>
      <c r="F23" s="39">
        <v>920.99</v>
      </c>
      <c r="G23" s="7">
        <f t="shared" si="1"/>
        <v>5649.5266000000001</v>
      </c>
      <c r="H23" s="7">
        <f t="shared" si="2"/>
        <v>460.495</v>
      </c>
      <c r="I23" s="7"/>
      <c r="J23" s="7">
        <f t="shared" si="3"/>
        <v>649.695559</v>
      </c>
      <c r="K23" s="7"/>
      <c r="L23" s="7">
        <f t="shared" si="4"/>
        <v>4539.3360410000005</v>
      </c>
      <c r="M23" s="11"/>
      <c r="N23" s="142">
        <v>43374</v>
      </c>
      <c r="O23" s="158">
        <f t="shared" si="5"/>
        <v>371.43501643655486</v>
      </c>
      <c r="P23" s="158"/>
      <c r="Q23" s="158"/>
      <c r="S23" s="53"/>
    </row>
    <row r="24" spans="1:19" ht="24.95" customHeight="1" x14ac:dyDescent="0.2">
      <c r="B24" t="s">
        <v>392</v>
      </c>
      <c r="D24" s="106" t="s">
        <v>237</v>
      </c>
      <c r="E24" s="111">
        <v>8625.3612499999999</v>
      </c>
      <c r="F24" s="39">
        <v>621.34</v>
      </c>
      <c r="G24" s="7">
        <f t="shared" si="1"/>
        <v>4312.680625</v>
      </c>
      <c r="H24" s="7">
        <f t="shared" si="2"/>
        <v>310.67</v>
      </c>
      <c r="I24" s="7"/>
      <c r="J24" s="21">
        <f t="shared" ref="J24" si="15">+G24*0.115</f>
        <v>495.95827187500004</v>
      </c>
      <c r="K24" s="21"/>
      <c r="L24" s="7">
        <f t="shared" si="4"/>
        <v>3506.0523531250001</v>
      </c>
      <c r="M24" s="11"/>
      <c r="N24" s="142">
        <v>44593</v>
      </c>
      <c r="O24" s="158">
        <f t="shared" si="5"/>
        <v>283.54244740302431</v>
      </c>
      <c r="P24" s="163"/>
      <c r="Q24" s="163"/>
      <c r="R24" s="24"/>
    </row>
    <row r="25" spans="1:19" ht="24.75" customHeight="1" x14ac:dyDescent="0.2">
      <c r="B25" s="51" t="s">
        <v>155</v>
      </c>
      <c r="C25" s="51"/>
      <c r="D25" s="86" t="s">
        <v>250</v>
      </c>
      <c r="E25" s="110">
        <v>7287.2386000000006</v>
      </c>
      <c r="F25" s="39">
        <v>258.14</v>
      </c>
      <c r="G25" s="7">
        <f t="shared" si="1"/>
        <v>3643.6193000000003</v>
      </c>
      <c r="H25" s="7">
        <f t="shared" si="2"/>
        <v>129.07</v>
      </c>
      <c r="I25" s="7"/>
      <c r="J25" s="7">
        <f t="shared" si="3"/>
        <v>419.01621950000003</v>
      </c>
      <c r="K25" s="7"/>
      <c r="L25" s="7">
        <f t="shared" si="4"/>
        <v>3095.5330805000003</v>
      </c>
      <c r="M25" s="11"/>
      <c r="N25" s="142">
        <v>36892</v>
      </c>
      <c r="O25" s="158">
        <f t="shared" si="5"/>
        <v>239.55419460881001</v>
      </c>
      <c r="P25" s="158"/>
      <c r="Q25" s="158"/>
      <c r="S25" s="53"/>
    </row>
    <row r="26" spans="1:19" ht="24.75" customHeight="1" x14ac:dyDescent="0.2">
      <c r="B26" s="51" t="s">
        <v>194</v>
      </c>
      <c r="C26" s="75"/>
      <c r="D26" s="86" t="s">
        <v>84</v>
      </c>
      <c r="E26" s="111">
        <v>13478.889350000001</v>
      </c>
      <c r="F26" s="39">
        <v>1280.2</v>
      </c>
      <c r="G26" s="7">
        <f t="shared" si="1"/>
        <v>6739.4446750000006</v>
      </c>
      <c r="H26" s="7">
        <f t="shared" si="2"/>
        <v>640.1</v>
      </c>
      <c r="I26" s="7"/>
      <c r="J26" s="7">
        <f t="shared" si="3"/>
        <v>775.03613762500015</v>
      </c>
      <c r="K26" s="7">
        <v>479</v>
      </c>
      <c r="L26" s="7">
        <f t="shared" si="4"/>
        <v>4845.308537375</v>
      </c>
      <c r="M26" s="11"/>
      <c r="N26" s="142">
        <v>37257</v>
      </c>
      <c r="O26" s="158">
        <f t="shared" si="5"/>
        <v>443.09300953320184</v>
      </c>
      <c r="P26" s="163"/>
      <c r="Q26" s="158"/>
      <c r="S26" s="53"/>
    </row>
    <row r="27" spans="1:19" ht="28.5" customHeight="1" x14ac:dyDescent="0.2">
      <c r="B27" s="51" t="s">
        <v>367</v>
      </c>
      <c r="C27" s="75"/>
      <c r="D27" s="54" t="s">
        <v>253</v>
      </c>
      <c r="E27" s="13">
        <v>15747.46</v>
      </c>
      <c r="F27">
        <v>1695.66</v>
      </c>
      <c r="G27" s="7">
        <f t="shared" si="1"/>
        <v>7873.73</v>
      </c>
      <c r="H27" s="7">
        <f t="shared" si="2"/>
        <v>847.83</v>
      </c>
      <c r="I27" s="7"/>
      <c r="J27" s="7">
        <f t="shared" si="3"/>
        <v>905.47894999999994</v>
      </c>
      <c r="K27" s="7"/>
      <c r="L27" s="7">
        <f t="shared" si="4"/>
        <v>6120.4210499999999</v>
      </c>
      <c r="M27" s="11"/>
      <c r="N27" s="142">
        <v>44485</v>
      </c>
      <c r="O27" s="158">
        <f t="shared" si="5"/>
        <v>517.66798159105849</v>
      </c>
      <c r="P27" s="165"/>
      <c r="Q27" s="166"/>
      <c r="R27" s="125"/>
    </row>
    <row r="28" spans="1:19" ht="24.75" customHeight="1" x14ac:dyDescent="0.2">
      <c r="B28" s="51" t="s">
        <v>192</v>
      </c>
      <c r="C28" s="75"/>
      <c r="D28" s="86" t="s">
        <v>82</v>
      </c>
      <c r="E28" s="111">
        <v>13478.889350000001</v>
      </c>
      <c r="F28" s="39">
        <v>1280.2</v>
      </c>
      <c r="G28" s="7">
        <f t="shared" si="1"/>
        <v>6739.4446750000006</v>
      </c>
      <c r="H28" s="7">
        <f t="shared" si="2"/>
        <v>640.1</v>
      </c>
      <c r="I28" s="7"/>
      <c r="J28" s="7">
        <f t="shared" si="3"/>
        <v>775.03613762500015</v>
      </c>
      <c r="K28" s="7"/>
      <c r="L28" s="7">
        <f t="shared" si="4"/>
        <v>5324.308537375</v>
      </c>
      <c r="M28" s="11"/>
      <c r="N28" s="142">
        <v>39664</v>
      </c>
      <c r="O28" s="158">
        <f t="shared" si="5"/>
        <v>443.09300953320184</v>
      </c>
      <c r="P28" s="158"/>
      <c r="Q28" s="158"/>
      <c r="S28" s="53"/>
    </row>
    <row r="29" spans="1:19" ht="24.95" customHeight="1" x14ac:dyDescent="0.2">
      <c r="B29" s="10" t="s">
        <v>134</v>
      </c>
      <c r="C29" s="2"/>
      <c r="D29" s="54" t="s">
        <v>93</v>
      </c>
      <c r="E29" s="111">
        <v>9918.5717000000004</v>
      </c>
      <c r="F29" s="39">
        <v>762.04</v>
      </c>
      <c r="G29" s="7">
        <f t="shared" si="1"/>
        <v>4959.2858500000002</v>
      </c>
      <c r="H29" s="7">
        <f t="shared" si="2"/>
        <v>381.02</v>
      </c>
      <c r="I29" s="7"/>
      <c r="J29" s="21">
        <f t="shared" ref="J29" si="16">+G29*0.115</f>
        <v>570.31787274999999</v>
      </c>
      <c r="K29" s="21"/>
      <c r="L29" s="7">
        <f t="shared" si="4"/>
        <v>4007.9479772499999</v>
      </c>
      <c r="M29" s="11"/>
      <c r="N29" s="142">
        <v>38749</v>
      </c>
      <c r="O29" s="158">
        <f t="shared" si="5"/>
        <v>326.05429651545035</v>
      </c>
      <c r="P29" s="163"/>
      <c r="Q29" s="163"/>
      <c r="R29" s="24"/>
      <c r="S29" s="26"/>
    </row>
    <row r="30" spans="1:19" ht="24.95" customHeight="1" x14ac:dyDescent="0.2">
      <c r="B30" s="2" t="s">
        <v>477</v>
      </c>
      <c r="C30" s="2"/>
      <c r="D30" s="28" t="s">
        <v>516</v>
      </c>
      <c r="E30" s="119">
        <v>10745.24</v>
      </c>
      <c r="F30" s="119">
        <v>851.98</v>
      </c>
      <c r="G30" s="7">
        <f t="shared" si="1"/>
        <v>5372.62</v>
      </c>
      <c r="H30" s="7">
        <f t="shared" si="2"/>
        <v>425.99</v>
      </c>
      <c r="I30" s="7"/>
      <c r="J30" s="7">
        <f t="shared" ref="J30:J31" si="17">+G30*0.115</f>
        <v>617.85130000000004</v>
      </c>
      <c r="K30" s="7"/>
      <c r="L30" s="7">
        <f t="shared" si="4"/>
        <v>4328.7786999999998</v>
      </c>
      <c r="M30" s="11"/>
      <c r="N30" s="142">
        <v>44893</v>
      </c>
      <c r="O30" s="158">
        <f t="shared" si="5"/>
        <v>353.22945430637736</v>
      </c>
      <c r="P30" s="142"/>
      <c r="Q30" s="160"/>
    </row>
    <row r="31" spans="1:19" ht="24.95" customHeight="1" x14ac:dyDescent="0.2">
      <c r="B31" s="2" t="s">
        <v>542</v>
      </c>
      <c r="C31" s="2"/>
      <c r="D31" s="28" t="s">
        <v>543</v>
      </c>
      <c r="E31" s="111">
        <v>11274.56</v>
      </c>
      <c r="F31" s="39">
        <v>917.08</v>
      </c>
      <c r="G31" s="7">
        <f t="shared" si="1"/>
        <v>5637.28</v>
      </c>
      <c r="H31" s="7">
        <f t="shared" si="2"/>
        <v>458.54</v>
      </c>
      <c r="I31" s="7"/>
      <c r="J31" s="7">
        <f t="shared" si="17"/>
        <v>648.28719999999998</v>
      </c>
      <c r="K31" s="7"/>
      <c r="L31" s="7">
        <f t="shared" ref="L31" si="18">G31-H31+I31-J31-K31</f>
        <v>4530.4528</v>
      </c>
      <c r="M31" s="11"/>
      <c r="N31" s="142">
        <v>45306</v>
      </c>
      <c r="O31" s="158">
        <f t="shared" si="5"/>
        <v>370.62984878369491</v>
      </c>
      <c r="P31" s="142"/>
      <c r="Q31" s="160"/>
    </row>
    <row r="32" spans="1:19" ht="24.75" customHeight="1" x14ac:dyDescent="0.2">
      <c r="B32" s="51" t="s">
        <v>182</v>
      </c>
      <c r="C32" s="75"/>
      <c r="D32" s="86" t="s">
        <v>75</v>
      </c>
      <c r="E32" s="111">
        <v>24325.3</v>
      </c>
      <c r="F32" s="39">
        <v>3527.89</v>
      </c>
      <c r="G32" s="7">
        <f t="shared" si="1"/>
        <v>12162.65</v>
      </c>
      <c r="H32" s="7">
        <f t="shared" si="2"/>
        <v>1763.9449999999999</v>
      </c>
      <c r="I32" s="7"/>
      <c r="J32" s="7">
        <f t="shared" si="3"/>
        <v>1398.7047500000001</v>
      </c>
      <c r="K32" s="7"/>
      <c r="L32" s="7">
        <f t="shared" si="4"/>
        <v>9000.0002499999991</v>
      </c>
      <c r="M32" s="11"/>
      <c r="N32" s="142">
        <v>37174</v>
      </c>
      <c r="O32" s="158">
        <f t="shared" si="5"/>
        <v>799.64825772518077</v>
      </c>
      <c r="P32" s="158"/>
      <c r="Q32" s="158"/>
      <c r="S32" s="53"/>
    </row>
    <row r="33" spans="2:22" ht="24.75" customHeight="1" x14ac:dyDescent="0.2">
      <c r="B33" s="51" t="s">
        <v>190</v>
      </c>
      <c r="C33" s="75"/>
      <c r="D33" s="86" t="s">
        <v>243</v>
      </c>
      <c r="E33" s="111">
        <v>11031.91035</v>
      </c>
      <c r="F33" s="39">
        <v>883.17</v>
      </c>
      <c r="G33" s="7">
        <f t="shared" si="1"/>
        <v>5515.9551750000001</v>
      </c>
      <c r="H33" s="7">
        <f t="shared" si="2"/>
        <v>441.58499999999998</v>
      </c>
      <c r="I33" s="7"/>
      <c r="J33" s="7">
        <f t="shared" si="3"/>
        <v>634.33484512500002</v>
      </c>
      <c r="K33" s="7">
        <v>528</v>
      </c>
      <c r="L33" s="7">
        <f t="shared" si="4"/>
        <v>3912.0353298749997</v>
      </c>
      <c r="M33" s="11"/>
      <c r="N33" s="142">
        <v>42278</v>
      </c>
      <c r="O33" s="158">
        <f t="shared" si="5"/>
        <v>362.65320019723862</v>
      </c>
      <c r="P33" s="158"/>
      <c r="Q33" s="158"/>
      <c r="S33" s="53"/>
    </row>
    <row r="34" spans="2:22" ht="24.75" customHeight="1" x14ac:dyDescent="0.2">
      <c r="B34" t="s">
        <v>352</v>
      </c>
      <c r="C34" s="75"/>
      <c r="D34" s="86" t="s">
        <v>388</v>
      </c>
      <c r="E34" s="111">
        <v>10053.9773</v>
      </c>
      <c r="F34" s="39">
        <v>776.77</v>
      </c>
      <c r="G34" s="7">
        <f t="shared" si="1"/>
        <v>5026.9886500000002</v>
      </c>
      <c r="H34" s="7">
        <f t="shared" si="2"/>
        <v>388.38499999999999</v>
      </c>
      <c r="I34" s="7"/>
      <c r="J34" s="7">
        <f t="shared" si="3"/>
        <v>578.10369475000005</v>
      </c>
      <c r="K34" s="7">
        <v>958</v>
      </c>
      <c r="L34" s="7">
        <f t="shared" si="4"/>
        <v>3102.4999552499999</v>
      </c>
      <c r="M34" s="11"/>
      <c r="N34" s="146">
        <v>44109</v>
      </c>
      <c r="O34" s="158">
        <f t="shared" si="5"/>
        <v>330.50549967126892</v>
      </c>
      <c r="P34" s="158"/>
      <c r="Q34" s="158"/>
      <c r="S34" s="53"/>
    </row>
    <row r="35" spans="2:22" ht="24.75" customHeight="1" x14ac:dyDescent="0.2">
      <c r="B35" s="51" t="s">
        <v>325</v>
      </c>
      <c r="C35" s="51"/>
      <c r="D35" s="88" t="s">
        <v>251</v>
      </c>
      <c r="E35" s="111">
        <v>7670.085</v>
      </c>
      <c r="F35" s="39">
        <v>517.41</v>
      </c>
      <c r="G35" s="7">
        <f t="shared" si="1"/>
        <v>3835.0425</v>
      </c>
      <c r="H35" s="7">
        <f t="shared" si="2"/>
        <v>258.70499999999998</v>
      </c>
      <c r="I35" s="7"/>
      <c r="J35" s="7">
        <f t="shared" si="3"/>
        <v>441.02988750000003</v>
      </c>
      <c r="K35" s="7"/>
      <c r="L35" s="7">
        <f t="shared" si="4"/>
        <v>3135.3076125000002</v>
      </c>
      <c r="M35" s="11"/>
      <c r="N35" s="146">
        <v>44039</v>
      </c>
      <c r="O35" s="158">
        <f t="shared" si="5"/>
        <v>252.13954635108479</v>
      </c>
      <c r="P35" s="142"/>
      <c r="Q35" s="158"/>
      <c r="S35" s="53"/>
    </row>
    <row r="36" spans="2:22" ht="24.75" customHeight="1" x14ac:dyDescent="0.2">
      <c r="B36" s="51" t="s">
        <v>466</v>
      </c>
      <c r="C36" s="51"/>
      <c r="D36" s="88" t="s">
        <v>467</v>
      </c>
      <c r="E36" s="111">
        <v>8625.3612499999999</v>
      </c>
      <c r="F36" s="39">
        <v>621.34</v>
      </c>
      <c r="G36" s="7">
        <f t="shared" si="1"/>
        <v>4312.680625</v>
      </c>
      <c r="H36" s="7">
        <f t="shared" si="2"/>
        <v>310.67</v>
      </c>
      <c r="I36" s="7"/>
      <c r="J36" s="7">
        <f t="shared" ref="J36" si="19">+G36*0.115</f>
        <v>495.95827187500004</v>
      </c>
      <c r="K36" s="7"/>
      <c r="L36" s="7">
        <f t="shared" si="4"/>
        <v>3506.0523531250001</v>
      </c>
      <c r="M36" s="11"/>
      <c r="N36" s="146">
        <v>44743</v>
      </c>
      <c r="O36" s="158">
        <f t="shared" si="5"/>
        <v>283.54244740302431</v>
      </c>
      <c r="P36" s="142"/>
      <c r="Q36" s="158"/>
      <c r="S36" s="53"/>
    </row>
    <row r="37" spans="2:22" ht="24.75" customHeight="1" x14ac:dyDescent="0.2">
      <c r="B37" s="51" t="s">
        <v>464</v>
      </c>
      <c r="C37" s="51"/>
      <c r="D37" s="86" t="s">
        <v>409</v>
      </c>
      <c r="E37" s="111">
        <v>7287.2386000000006</v>
      </c>
      <c r="F37" s="39">
        <v>258.14</v>
      </c>
      <c r="G37" s="7">
        <f t="shared" si="1"/>
        <v>3643.6193000000003</v>
      </c>
      <c r="H37" s="7">
        <f t="shared" si="2"/>
        <v>129.07</v>
      </c>
      <c r="I37" s="7"/>
      <c r="J37" s="7">
        <f t="shared" ref="J37" si="20">+G37*0.115</f>
        <v>419.01621950000003</v>
      </c>
      <c r="K37" s="7"/>
      <c r="L37" s="7">
        <f t="shared" si="4"/>
        <v>3095.5330805000003</v>
      </c>
      <c r="M37" s="11"/>
      <c r="N37" s="142">
        <v>44743</v>
      </c>
      <c r="O37" s="158">
        <f t="shared" si="5"/>
        <v>239.55419460881001</v>
      </c>
      <c r="P37" s="142"/>
      <c r="Q37" s="158"/>
      <c r="S37" s="53"/>
    </row>
    <row r="38" spans="2:22" ht="24.75" customHeight="1" x14ac:dyDescent="0.2">
      <c r="B38" s="51" t="s">
        <v>193</v>
      </c>
      <c r="C38" s="75"/>
      <c r="D38" s="86" t="s">
        <v>83</v>
      </c>
      <c r="E38" s="111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3"/>
        <v>775.03613762500015</v>
      </c>
      <c r="K38" s="7"/>
      <c r="L38" s="7">
        <f t="shared" si="4"/>
        <v>5324.308537375</v>
      </c>
      <c r="M38" s="11"/>
      <c r="N38" s="142">
        <v>40179</v>
      </c>
      <c r="O38" s="158">
        <f t="shared" si="5"/>
        <v>443.09300953320184</v>
      </c>
      <c r="P38" s="158"/>
      <c r="Q38" s="158"/>
      <c r="S38" s="53"/>
    </row>
    <row r="39" spans="2:22" ht="24.75" customHeight="1" x14ac:dyDescent="0.2">
      <c r="B39" s="51" t="s">
        <v>471</v>
      </c>
      <c r="C39" s="75"/>
      <c r="D39" s="86" t="s">
        <v>488</v>
      </c>
      <c r="E39" s="111">
        <v>19433.87</v>
      </c>
      <c r="F39" s="39">
        <v>2483.08</v>
      </c>
      <c r="G39" s="7">
        <f t="shared" si="1"/>
        <v>9716.9349999999995</v>
      </c>
      <c r="H39" s="7">
        <f t="shared" si="2"/>
        <v>1241.54</v>
      </c>
      <c r="I39" s="7"/>
      <c r="J39" s="7">
        <f t="shared" ref="J39" si="21">+G39*0.115</f>
        <v>1117.447525</v>
      </c>
      <c r="K39" s="7"/>
      <c r="L39" s="7">
        <f t="shared" si="4"/>
        <v>7357.9474750000008</v>
      </c>
      <c r="M39" s="11"/>
      <c r="N39" s="142">
        <v>44789</v>
      </c>
      <c r="O39" s="158">
        <f t="shared" si="5"/>
        <v>638.85174227481912</v>
      </c>
      <c r="P39" s="158"/>
      <c r="Q39" s="158"/>
      <c r="S39" s="53"/>
    </row>
    <row r="40" spans="2:22" ht="24.75" customHeight="1" x14ac:dyDescent="0.2">
      <c r="B40" s="51" t="s">
        <v>202</v>
      </c>
      <c r="C40" s="75"/>
      <c r="D40" s="86" t="s">
        <v>86</v>
      </c>
      <c r="E40" s="111">
        <v>13478.889350000001</v>
      </c>
      <c r="F40" s="39">
        <v>1280.2</v>
      </c>
      <c r="G40" s="7">
        <f t="shared" si="1"/>
        <v>6739.4446750000006</v>
      </c>
      <c r="H40" s="7">
        <f t="shared" si="2"/>
        <v>640.1</v>
      </c>
      <c r="I40" s="7"/>
      <c r="J40" s="7">
        <f t="shared" si="3"/>
        <v>775.03613762500015</v>
      </c>
      <c r="K40" s="7">
        <v>1284</v>
      </c>
      <c r="L40" s="7">
        <f t="shared" si="4"/>
        <v>4040.308537375</v>
      </c>
      <c r="M40" s="11"/>
      <c r="N40" s="142">
        <v>39234</v>
      </c>
      <c r="O40" s="158">
        <f t="shared" si="5"/>
        <v>443.09300953320184</v>
      </c>
      <c r="P40" s="158"/>
      <c r="Q40" s="158"/>
      <c r="S40" s="53"/>
      <c r="V40" s="24"/>
    </row>
    <row r="41" spans="2:22" ht="24.75" customHeight="1" x14ac:dyDescent="0.2">
      <c r="B41" s="51" t="s">
        <v>218</v>
      </c>
      <c r="C41" s="75"/>
      <c r="D41" s="86" t="s">
        <v>323</v>
      </c>
      <c r="E41" s="111">
        <v>10768.090199999999</v>
      </c>
      <c r="F41" s="39">
        <v>854.47</v>
      </c>
      <c r="G41" s="7">
        <f t="shared" si="1"/>
        <v>5384.0450999999994</v>
      </c>
      <c r="H41" s="7">
        <f t="shared" si="2"/>
        <v>427.23500000000001</v>
      </c>
      <c r="I41" s="7"/>
      <c r="J41" s="7">
        <f t="shared" si="3"/>
        <v>619.1651865</v>
      </c>
      <c r="K41" s="7"/>
      <c r="L41" s="7">
        <f t="shared" si="4"/>
        <v>4337.6449134999993</v>
      </c>
      <c r="M41" s="11"/>
      <c r="N41" s="142">
        <v>42291</v>
      </c>
      <c r="O41" s="158">
        <f t="shared" si="5"/>
        <v>353.98061143984216</v>
      </c>
      <c r="P41" s="158"/>
      <c r="Q41" s="158"/>
      <c r="S41" s="53"/>
      <c r="T41" s="53"/>
      <c r="U41" s="53"/>
      <c r="V41" s="53"/>
    </row>
    <row r="42" spans="2:22" ht="24.95" customHeight="1" x14ac:dyDescent="0.2">
      <c r="B42" t="s">
        <v>309</v>
      </c>
      <c r="D42" s="54" t="s">
        <v>93</v>
      </c>
      <c r="E42" s="111">
        <v>9918.5717000000004</v>
      </c>
      <c r="F42" s="39">
        <v>762.04</v>
      </c>
      <c r="G42" s="7">
        <f t="shared" si="1"/>
        <v>4959.2858500000002</v>
      </c>
      <c r="H42" s="7">
        <f t="shared" si="2"/>
        <v>381.02</v>
      </c>
      <c r="I42" s="7"/>
      <c r="J42" s="21">
        <f t="shared" ref="J42" si="22">+G42*0.115</f>
        <v>570.31787274999999</v>
      </c>
      <c r="K42" s="21"/>
      <c r="L42" s="7">
        <f t="shared" ref="L42" si="23">G42-H42+I42-J42-K42</f>
        <v>4007.9479772499999</v>
      </c>
      <c r="M42" s="11"/>
      <c r="N42" s="142">
        <v>43388</v>
      </c>
      <c r="O42" s="158">
        <f t="shared" si="5"/>
        <v>326.05429651545035</v>
      </c>
      <c r="P42" s="142"/>
      <c r="Q42" s="163"/>
    </row>
    <row r="43" spans="2:22" ht="24.95" customHeight="1" x14ac:dyDescent="0.2">
      <c r="B43" s="51" t="s">
        <v>135</v>
      </c>
      <c r="C43" s="75"/>
      <c r="D43" s="86" t="s">
        <v>250</v>
      </c>
      <c r="E43" s="111"/>
      <c r="F43" s="39"/>
      <c r="G43" s="7">
        <f t="shared" si="1"/>
        <v>0</v>
      </c>
      <c r="H43" s="7">
        <f t="shared" si="2"/>
        <v>0</v>
      </c>
      <c r="I43" s="7"/>
      <c r="J43" s="7"/>
      <c r="K43" s="7"/>
      <c r="L43" s="7">
        <f t="shared" si="4"/>
        <v>0</v>
      </c>
      <c r="M43" s="11"/>
      <c r="N43" s="142">
        <v>39234</v>
      </c>
      <c r="O43" s="158" t="s">
        <v>555</v>
      </c>
      <c r="P43" s="158"/>
      <c r="Q43" s="160"/>
      <c r="R43" s="126"/>
    </row>
    <row r="44" spans="2:22" ht="21.95" customHeight="1" x14ac:dyDescent="0.2">
      <c r="D44" s="25" t="s">
        <v>91</v>
      </c>
      <c r="E44" s="41">
        <f t="shared" ref="E44:L44" si="24">SUM(E7:E43)</f>
        <v>425406.12070000009</v>
      </c>
      <c r="F44" s="41">
        <f t="shared" si="24"/>
        <v>38957.230000000003</v>
      </c>
      <c r="G44" s="26">
        <f t="shared" si="24"/>
        <v>212703.06035000004</v>
      </c>
      <c r="H44" s="26">
        <f t="shared" si="24"/>
        <v>19478.615000000002</v>
      </c>
      <c r="I44" s="26">
        <f t="shared" si="24"/>
        <v>0</v>
      </c>
      <c r="J44" s="26">
        <f t="shared" si="24"/>
        <v>24460.851940250002</v>
      </c>
      <c r="K44" s="26">
        <f t="shared" si="24"/>
        <v>8969</v>
      </c>
      <c r="L44" s="26">
        <f t="shared" si="24"/>
        <v>159794.59340975</v>
      </c>
    </row>
    <row r="45" spans="2:22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22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47" spans="2:22" x14ac:dyDescent="0.2">
      <c r="B47" s="2"/>
      <c r="C47" s="2"/>
      <c r="D47" s="5"/>
      <c r="E47" s="7"/>
      <c r="F47" s="7"/>
      <c r="G47" s="7"/>
      <c r="H47" s="7"/>
      <c r="I47" s="7"/>
      <c r="J47" s="7"/>
      <c r="K47" s="7"/>
      <c r="L47" s="7"/>
    </row>
    <row r="48" spans="2:22" x14ac:dyDescent="0.2">
      <c r="B48" s="2"/>
      <c r="C48" s="2"/>
      <c r="D48" s="5"/>
      <c r="E48" s="7"/>
      <c r="F48" s="7"/>
      <c r="G48" s="7"/>
      <c r="H48" s="7"/>
      <c r="I48" s="7"/>
      <c r="J48" s="7"/>
      <c r="K48" s="7"/>
      <c r="L48" s="7"/>
    </row>
    <row r="52" spans="2:18" ht="24.95" customHeight="1" x14ac:dyDescent="0.2">
      <c r="B52" s="77"/>
      <c r="C52" s="77"/>
      <c r="D52" s="77"/>
      <c r="E52" s="61"/>
      <c r="F52" s="61"/>
      <c r="G52" s="61"/>
      <c r="H52" s="7"/>
      <c r="I52" s="7"/>
      <c r="J52" s="61"/>
      <c r="K52" s="61"/>
      <c r="L52" s="61"/>
      <c r="M52" s="61"/>
      <c r="N52" s="61"/>
      <c r="O52" s="11"/>
      <c r="Q52" s="24"/>
      <c r="R52" s="24"/>
    </row>
  </sheetData>
  <autoFilter ref="A1:P72"/>
  <sortState ref="A7:H44">
    <sortCondition ref="B7:B44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A43"/>
  <sheetViews>
    <sheetView topLeftCell="B1" zoomScale="90" zoomScaleNormal="90" workbookViewId="0">
      <selection activeCell="P1" sqref="P1:AB1048576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23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3" ht="15" x14ac:dyDescent="0.25">
      <c r="E2" s="15" t="s">
        <v>92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2024</v>
      </c>
    </row>
    <row r="3" spans="2:23" x14ac:dyDescent="0.2">
      <c r="E3" s="16" t="str">
        <f>PRESIDENCIA!E3</f>
        <v>SEGUNDA QUINCENA DE JULIO DE 2024</v>
      </c>
      <c r="F3" s="13"/>
      <c r="G3" s="13"/>
      <c r="H3" s="13"/>
      <c r="I3" s="13"/>
      <c r="J3" s="13"/>
      <c r="K3" s="13"/>
      <c r="L3" s="13"/>
      <c r="M3" s="13"/>
    </row>
    <row r="4" spans="2:23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23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 t="s">
        <v>33</v>
      </c>
      <c r="H5" s="18" t="s">
        <v>4</v>
      </c>
      <c r="I5" s="18" t="s">
        <v>29</v>
      </c>
      <c r="J5" s="45" t="s">
        <v>240</v>
      </c>
      <c r="K5" s="102" t="s">
        <v>400</v>
      </c>
      <c r="L5" s="113" t="s">
        <v>496</v>
      </c>
      <c r="M5" s="18" t="s">
        <v>5</v>
      </c>
      <c r="N5" s="17" t="s">
        <v>6</v>
      </c>
      <c r="O5" s="37" t="s">
        <v>365</v>
      </c>
      <c r="P5" s="37"/>
    </row>
    <row r="6" spans="2:23" ht="2.25" customHeight="1" x14ac:dyDescent="0.2">
      <c r="E6" s="39"/>
      <c r="F6" s="39"/>
      <c r="G6" s="39"/>
    </row>
    <row r="7" spans="2:23" s="51" customFormat="1" ht="29.25" customHeight="1" x14ac:dyDescent="0.2">
      <c r="B7" s="2" t="s">
        <v>244</v>
      </c>
      <c r="C7"/>
      <c r="D7" s="83" t="s">
        <v>333</v>
      </c>
      <c r="E7" s="110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4"/>
      <c r="O7" s="144">
        <v>43374</v>
      </c>
      <c r="P7" s="135"/>
      <c r="Q7" s="137"/>
      <c r="R7" s="137"/>
      <c r="S7" s="137"/>
      <c r="T7" s="137"/>
      <c r="U7" s="137"/>
      <c r="V7" s="137"/>
      <c r="W7" s="137"/>
    </row>
    <row r="8" spans="2:23" s="51" customFormat="1" ht="29.25" customHeight="1" x14ac:dyDescent="0.2">
      <c r="B8" s="2" t="s">
        <v>368</v>
      </c>
      <c r="C8"/>
      <c r="D8" s="64" t="s">
        <v>547</v>
      </c>
      <c r="E8" s="110">
        <v>9918.5717000000004</v>
      </c>
      <c r="F8" s="39">
        <v>762.04</v>
      </c>
      <c r="G8" s="39"/>
      <c r="H8" s="61">
        <f t="shared" ref="H8:H40" si="3">+E8/2</f>
        <v>4959.2858500000002</v>
      </c>
      <c r="I8" s="61">
        <f t="shared" ref="I8:I40" si="4">+F8/2</f>
        <v>381.02</v>
      </c>
      <c r="J8" s="61">
        <f t="shared" ref="J8:J40" si="5">+G8/2</f>
        <v>0</v>
      </c>
      <c r="K8" s="61">
        <f t="shared" ref="K8:K37" si="6">+H8*0.115</f>
        <v>570.31787274999999</v>
      </c>
      <c r="L8" s="61"/>
      <c r="M8" s="61">
        <f t="shared" ref="M8:M37" si="7">+H8-I8+J8-K8-L8</f>
        <v>4007.9479772499999</v>
      </c>
      <c r="N8" s="74"/>
      <c r="O8" s="144">
        <v>44485</v>
      </c>
      <c r="P8" s="135"/>
      <c r="Q8" s="137"/>
      <c r="R8" s="137"/>
      <c r="S8" s="137"/>
      <c r="T8" s="137"/>
      <c r="U8" s="137"/>
      <c r="V8" s="137"/>
      <c r="W8" s="137"/>
    </row>
    <row r="9" spans="2:23" s="51" customFormat="1" ht="29.25" customHeight="1" x14ac:dyDescent="0.2">
      <c r="B9" s="23" t="s">
        <v>146</v>
      </c>
      <c r="C9" s="5"/>
      <c r="D9" s="54" t="s">
        <v>68</v>
      </c>
      <c r="E9" s="110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>
        <v>1446</v>
      </c>
      <c r="M9" s="61">
        <f t="shared" si="7"/>
        <v>4478.7481929999994</v>
      </c>
      <c r="N9" s="74"/>
      <c r="O9" s="144">
        <v>37500</v>
      </c>
      <c r="P9" s="135"/>
      <c r="Q9" s="137"/>
      <c r="R9" s="137"/>
      <c r="S9" s="137"/>
      <c r="T9" s="137"/>
      <c r="U9" s="137"/>
      <c r="V9" s="137"/>
      <c r="W9" s="137"/>
    </row>
    <row r="10" spans="2:23" s="51" customFormat="1" ht="29.25" customHeight="1" x14ac:dyDescent="0.2">
      <c r="B10" t="s">
        <v>330</v>
      </c>
      <c r="C10"/>
      <c r="D10" s="64" t="s">
        <v>548</v>
      </c>
      <c r="E10" s="110">
        <v>9657.48</v>
      </c>
      <c r="F10" s="39">
        <v>733.64</v>
      </c>
      <c r="G10" s="39"/>
      <c r="H10" s="61">
        <f t="shared" si="3"/>
        <v>4828.74</v>
      </c>
      <c r="I10" s="61">
        <f t="shared" si="4"/>
        <v>366.82</v>
      </c>
      <c r="J10" s="61">
        <f t="shared" si="5"/>
        <v>0</v>
      </c>
      <c r="K10" s="61">
        <f t="shared" si="6"/>
        <v>555.30510000000004</v>
      </c>
      <c r="L10" s="61"/>
      <c r="M10" s="61">
        <f t="shared" si="7"/>
        <v>3906.6149</v>
      </c>
      <c r="N10" s="74"/>
      <c r="O10" s="146">
        <v>44245</v>
      </c>
      <c r="P10" s="144"/>
      <c r="Q10" s="137"/>
      <c r="R10" s="137"/>
      <c r="S10" s="137"/>
      <c r="T10" s="137"/>
      <c r="U10" s="137"/>
      <c r="V10" s="137"/>
      <c r="W10" s="137"/>
    </row>
    <row r="11" spans="2:23" s="51" customFormat="1" ht="29.25" customHeight="1" x14ac:dyDescent="0.2">
      <c r="B11" t="s">
        <v>331</v>
      </c>
      <c r="C11"/>
      <c r="D11" s="64" t="s">
        <v>245</v>
      </c>
      <c r="E11" s="110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4"/>
      <c r="O11" s="142">
        <v>43405</v>
      </c>
      <c r="P11" s="135"/>
      <c r="Q11" s="139"/>
      <c r="R11" s="139"/>
      <c r="S11" s="139"/>
      <c r="T11" s="139"/>
      <c r="U11" s="139"/>
      <c r="V11" s="139"/>
      <c r="W11" s="137"/>
    </row>
    <row r="12" spans="2:23" ht="24.95" customHeight="1" x14ac:dyDescent="0.2">
      <c r="B12" s="10" t="s">
        <v>176</v>
      </c>
      <c r="C12" s="51"/>
      <c r="D12" s="64" t="s">
        <v>359</v>
      </c>
      <c r="E12" s="110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142">
        <v>43374</v>
      </c>
      <c r="P12" s="136"/>
      <c r="Q12" s="137"/>
      <c r="R12" s="136"/>
      <c r="S12" s="135"/>
      <c r="T12" s="135"/>
      <c r="U12" s="135"/>
      <c r="V12" s="135"/>
      <c r="W12" s="135"/>
    </row>
    <row r="13" spans="2:23" ht="24.95" customHeight="1" x14ac:dyDescent="0.2">
      <c r="B13" s="10" t="s">
        <v>502</v>
      </c>
      <c r="C13" s="51"/>
      <c r="D13" s="54" t="s">
        <v>366</v>
      </c>
      <c r="E13" s="110">
        <v>1950.14</v>
      </c>
      <c r="F13" s="39"/>
      <c r="G13" s="39">
        <v>315.45</v>
      </c>
      <c r="H13" s="61">
        <f t="shared" si="3"/>
        <v>975.07</v>
      </c>
      <c r="I13" s="61">
        <f t="shared" si="4"/>
        <v>0</v>
      </c>
      <c r="J13" s="61">
        <f t="shared" si="5"/>
        <v>157.72499999999999</v>
      </c>
      <c r="K13" s="21">
        <f t="shared" ref="K13" si="8">+H13*0.115</f>
        <v>112.13305000000001</v>
      </c>
      <c r="L13" s="61"/>
      <c r="M13" s="61">
        <f t="shared" ref="M13" si="9">+H13-I13+J13-K13-L13</f>
        <v>1020.66195</v>
      </c>
      <c r="N13" s="11"/>
      <c r="O13" s="142">
        <v>45050</v>
      </c>
      <c r="P13" s="136"/>
      <c r="Q13" s="137"/>
      <c r="R13" s="136"/>
      <c r="S13" s="135"/>
      <c r="T13" s="135"/>
      <c r="U13" s="135"/>
      <c r="V13" s="135"/>
      <c r="W13" s="135"/>
    </row>
    <row r="14" spans="2:23" s="51" customFormat="1" ht="29.25" customHeight="1" x14ac:dyDescent="0.2">
      <c r="B14" s="10" t="s">
        <v>147</v>
      </c>
      <c r="C14" s="2"/>
      <c r="D14" s="54" t="s">
        <v>68</v>
      </c>
      <c r="E14" s="110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/>
      <c r="M14" s="61">
        <f t="shared" si="7"/>
        <v>5924.7481929999994</v>
      </c>
      <c r="N14" s="74"/>
      <c r="O14" s="144">
        <v>40344</v>
      </c>
      <c r="P14" s="135"/>
      <c r="Q14" s="137"/>
      <c r="R14" s="137"/>
      <c r="S14" s="137"/>
      <c r="T14" s="137"/>
      <c r="U14" s="137"/>
      <c r="V14" s="137"/>
      <c r="W14" s="137"/>
    </row>
    <row r="15" spans="2:23" s="51" customFormat="1" ht="29.25" customHeight="1" x14ac:dyDescent="0.2">
      <c r="B15" s="10" t="s">
        <v>503</v>
      </c>
      <c r="C15" s="2"/>
      <c r="D15" s="54" t="s">
        <v>366</v>
      </c>
      <c r="E15" s="110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4"/>
      <c r="O15" s="144">
        <v>45047</v>
      </c>
      <c r="P15" s="135"/>
      <c r="Q15" s="137"/>
      <c r="R15" s="137"/>
      <c r="S15" s="137"/>
      <c r="T15" s="137"/>
      <c r="U15" s="137"/>
      <c r="V15" s="137"/>
      <c r="W15" s="137"/>
    </row>
    <row r="16" spans="2:23" s="51" customFormat="1" ht="29.25" customHeight="1" x14ac:dyDescent="0.2">
      <c r="B16" s="51" t="s">
        <v>376</v>
      </c>
      <c r="C16" s="75"/>
      <c r="D16" s="62" t="s">
        <v>288</v>
      </c>
      <c r="E16" s="110">
        <v>2697.3188</v>
      </c>
      <c r="F16" s="39"/>
      <c r="G16" s="39">
        <v>267.42</v>
      </c>
      <c r="H16" s="61">
        <f t="shared" si="3"/>
        <v>1348.6594</v>
      </c>
      <c r="I16" s="61">
        <f t="shared" si="4"/>
        <v>0</v>
      </c>
      <c r="J16" s="61">
        <f t="shared" si="5"/>
        <v>133.71</v>
      </c>
      <c r="K16" s="61">
        <f t="shared" si="6"/>
        <v>155.095831</v>
      </c>
      <c r="L16" s="61"/>
      <c r="M16" s="61">
        <f t="shared" si="7"/>
        <v>1327.273569</v>
      </c>
      <c r="N16" s="74"/>
      <c r="O16" s="144">
        <v>44501</v>
      </c>
      <c r="P16" s="137"/>
      <c r="Q16" s="137"/>
      <c r="R16" s="137"/>
      <c r="S16" s="137"/>
      <c r="T16" s="137"/>
      <c r="U16" s="137"/>
      <c r="V16" s="137"/>
      <c r="W16" s="137"/>
    </row>
    <row r="17" spans="1:27" s="51" customFormat="1" ht="29.25" customHeight="1" x14ac:dyDescent="0.2">
      <c r="B17" s="10" t="s">
        <v>561</v>
      </c>
      <c r="C17" s="75"/>
      <c r="D17" s="62" t="s">
        <v>562</v>
      </c>
      <c r="E17" s="111">
        <v>11299.0532</v>
      </c>
      <c r="F17" s="39">
        <v>920.99</v>
      </c>
      <c r="G17" s="39"/>
      <c r="H17" s="61">
        <f t="shared" ref="H17" si="10">+E17/2</f>
        <v>5649.5266000000001</v>
      </c>
      <c r="I17" s="61">
        <f t="shared" ref="I17" si="11">+F17/2</f>
        <v>460.495</v>
      </c>
      <c r="J17" s="61">
        <f t="shared" ref="J17" si="12">+G17/2</f>
        <v>0</v>
      </c>
      <c r="K17" s="61">
        <f t="shared" ref="K17" si="13">+H17*0.115</f>
        <v>649.695559</v>
      </c>
      <c r="L17" s="61"/>
      <c r="M17" s="61">
        <f t="shared" ref="M17" si="14">+H17-I17+J17-K17-L17</f>
        <v>4539.3360410000005</v>
      </c>
      <c r="N17" s="74"/>
      <c r="O17" s="144">
        <v>45428</v>
      </c>
      <c r="P17" s="137"/>
      <c r="Q17" s="137"/>
      <c r="R17" s="137"/>
      <c r="S17" s="137"/>
      <c r="T17" s="137"/>
      <c r="U17" s="137"/>
      <c r="V17" s="137"/>
      <c r="W17" s="137"/>
    </row>
    <row r="18" spans="1:27" s="51" customFormat="1" ht="29.25" customHeight="1" x14ac:dyDescent="0.2">
      <c r="B18" s="51" t="s">
        <v>399</v>
      </c>
      <c r="C18" s="75"/>
      <c r="D18" s="62" t="s">
        <v>539</v>
      </c>
      <c r="E18" s="111">
        <v>8625.36</v>
      </c>
      <c r="F18" s="39">
        <v>621.34</v>
      </c>
      <c r="G18" s="39"/>
      <c r="H18" s="61">
        <f t="shared" si="3"/>
        <v>4312.68</v>
      </c>
      <c r="I18" s="61">
        <f t="shared" si="4"/>
        <v>310.67</v>
      </c>
      <c r="J18" s="61">
        <f t="shared" si="5"/>
        <v>0</v>
      </c>
      <c r="K18" s="61">
        <f t="shared" si="6"/>
        <v>495.95820000000003</v>
      </c>
      <c r="L18" s="61"/>
      <c r="M18" s="61">
        <f t="shared" si="7"/>
        <v>3506.0518000000002</v>
      </c>
      <c r="N18" s="74"/>
      <c r="O18" s="144">
        <v>44608</v>
      </c>
      <c r="P18" s="137"/>
      <c r="Q18" s="137"/>
      <c r="R18" s="137"/>
      <c r="S18" s="137"/>
      <c r="T18" s="137"/>
      <c r="U18" s="137"/>
      <c r="V18" s="137"/>
      <c r="W18" s="137"/>
    </row>
    <row r="19" spans="1:27" ht="24.95" customHeight="1" x14ac:dyDescent="0.2">
      <c r="B19" s="51" t="s">
        <v>491</v>
      </c>
      <c r="C19" s="75"/>
      <c r="D19" s="86" t="s">
        <v>492</v>
      </c>
      <c r="E19" s="110">
        <v>6445.7480999999998</v>
      </c>
      <c r="F19" s="39">
        <v>130.66</v>
      </c>
      <c r="G19" s="39"/>
      <c r="H19" s="61">
        <f t="shared" si="3"/>
        <v>3222.8740499999999</v>
      </c>
      <c r="I19" s="61">
        <f t="shared" si="4"/>
        <v>65.33</v>
      </c>
      <c r="J19" s="61">
        <f t="shared" si="5"/>
        <v>0</v>
      </c>
      <c r="K19" s="61">
        <f t="shared" ref="K19" si="15">+H19*0.115</f>
        <v>370.63051575000003</v>
      </c>
      <c r="L19" s="61">
        <v>806</v>
      </c>
      <c r="M19" s="61">
        <f t="shared" si="7"/>
        <v>1980.9135342499999</v>
      </c>
      <c r="N19" s="11"/>
      <c r="O19" s="144">
        <v>45019</v>
      </c>
      <c r="P19" s="147"/>
      <c r="Q19" s="137"/>
      <c r="R19" s="137"/>
      <c r="S19" s="135"/>
      <c r="T19" s="148"/>
      <c r="U19" s="135"/>
      <c r="V19" s="135"/>
      <c r="W19" s="135"/>
    </row>
    <row r="20" spans="1:27" ht="24.95" customHeight="1" x14ac:dyDescent="0.2">
      <c r="B20" s="51" t="s">
        <v>473</v>
      </c>
      <c r="C20" s="75"/>
      <c r="D20" s="86" t="s">
        <v>23</v>
      </c>
      <c r="E20" s="110">
        <v>2697.3188</v>
      </c>
      <c r="F20" s="39"/>
      <c r="G20" s="39">
        <v>267.42</v>
      </c>
      <c r="H20" s="61">
        <f t="shared" si="3"/>
        <v>1348.6594</v>
      </c>
      <c r="I20" s="61">
        <f t="shared" si="4"/>
        <v>0</v>
      </c>
      <c r="J20" s="61">
        <f t="shared" si="5"/>
        <v>133.71</v>
      </c>
      <c r="K20" s="61">
        <f t="shared" si="6"/>
        <v>155.095831</v>
      </c>
      <c r="L20" s="61"/>
      <c r="M20" s="61">
        <f t="shared" si="7"/>
        <v>1327.273569</v>
      </c>
      <c r="N20" s="11"/>
      <c r="O20" s="144">
        <v>44788</v>
      </c>
      <c r="P20" s="147"/>
      <c r="Q20" s="137"/>
      <c r="R20" s="137"/>
      <c r="S20" s="135"/>
      <c r="T20" s="148"/>
      <c r="U20" s="135"/>
      <c r="V20" s="135"/>
      <c r="W20" s="135"/>
    </row>
    <row r="21" spans="1:27" s="51" customFormat="1" ht="29.25" customHeight="1" x14ac:dyDescent="0.2">
      <c r="B21" t="s">
        <v>350</v>
      </c>
      <c r="C21"/>
      <c r="D21" s="64" t="s">
        <v>305</v>
      </c>
      <c r="E21" s="39">
        <v>10111.709999999999</v>
      </c>
      <c r="F21" s="39">
        <v>783.06</v>
      </c>
      <c r="G21" s="39"/>
      <c r="H21" s="61">
        <f t="shared" si="3"/>
        <v>5055.8549999999996</v>
      </c>
      <c r="I21" s="61">
        <f t="shared" si="4"/>
        <v>391.53</v>
      </c>
      <c r="J21" s="61">
        <f t="shared" si="5"/>
        <v>0</v>
      </c>
      <c r="K21" s="61"/>
      <c r="L21" s="61"/>
      <c r="M21" s="61">
        <f t="shared" si="7"/>
        <v>4664.3249999999998</v>
      </c>
      <c r="N21" s="74"/>
      <c r="O21" s="146">
        <v>44027</v>
      </c>
      <c r="P21" s="135"/>
      <c r="Q21" s="135"/>
      <c r="R21" s="137"/>
      <c r="S21" s="137"/>
      <c r="T21" s="137"/>
      <c r="U21" s="137"/>
      <c r="V21" s="137"/>
      <c r="W21" s="137"/>
    </row>
    <row r="22" spans="1:27" ht="24.95" customHeight="1" x14ac:dyDescent="0.2">
      <c r="B22" t="s">
        <v>302</v>
      </c>
      <c r="C22" s="83"/>
      <c r="D22" s="106" t="s">
        <v>246</v>
      </c>
      <c r="E22" s="110">
        <v>8625.3612499999999</v>
      </c>
      <c r="F22" s="39">
        <v>621.34</v>
      </c>
      <c r="G22" s="39"/>
      <c r="H22" s="61">
        <f t="shared" si="3"/>
        <v>4312.680625</v>
      </c>
      <c r="I22" s="61">
        <f t="shared" si="4"/>
        <v>310.67</v>
      </c>
      <c r="J22" s="61">
        <f t="shared" si="5"/>
        <v>0</v>
      </c>
      <c r="K22" s="61">
        <f t="shared" si="6"/>
        <v>495.95827187500004</v>
      </c>
      <c r="L22" s="61">
        <v>425</v>
      </c>
      <c r="M22" s="61">
        <f t="shared" si="7"/>
        <v>3081.0523531250001</v>
      </c>
      <c r="N22" s="11"/>
      <c r="O22" s="146">
        <v>43482</v>
      </c>
      <c r="P22" s="136"/>
      <c r="Q22" s="147"/>
      <c r="R22" s="136"/>
      <c r="S22" s="136"/>
      <c r="T22" s="137"/>
      <c r="U22" s="137"/>
      <c r="V22" s="137"/>
      <c r="W22" s="137"/>
      <c r="X22" s="51"/>
      <c r="Y22" s="51"/>
      <c r="Z22" s="51"/>
      <c r="AA22" s="51"/>
    </row>
    <row r="23" spans="1:27" ht="21" customHeight="1" x14ac:dyDescent="0.2">
      <c r="A23" s="81">
        <v>44204</v>
      </c>
      <c r="B23" s="2" t="s">
        <v>148</v>
      </c>
      <c r="C23" s="5"/>
      <c r="D23" s="54" t="s">
        <v>68</v>
      </c>
      <c r="E23" s="110">
        <v>15180.3236</v>
      </c>
      <c r="F23" s="39">
        <v>1585.09</v>
      </c>
      <c r="G23" s="39"/>
      <c r="H23" s="61">
        <f t="shared" si="3"/>
        <v>7590.1617999999999</v>
      </c>
      <c r="I23" s="61">
        <f t="shared" si="4"/>
        <v>792.54499999999996</v>
      </c>
      <c r="J23" s="61">
        <f t="shared" si="5"/>
        <v>0</v>
      </c>
      <c r="K23" s="61">
        <f t="shared" si="6"/>
        <v>872.868607</v>
      </c>
      <c r="L23" s="61"/>
      <c r="M23" s="61">
        <f t="shared" si="7"/>
        <v>5924.7481929999994</v>
      </c>
      <c r="N23" s="11"/>
      <c r="O23" s="144">
        <v>39083</v>
      </c>
      <c r="P23" s="136"/>
      <c r="Q23" s="145"/>
      <c r="R23" s="136"/>
      <c r="S23" s="135"/>
      <c r="T23" s="143"/>
      <c r="U23" s="135"/>
      <c r="V23" s="135"/>
      <c r="W23" s="135"/>
    </row>
    <row r="24" spans="1:27" s="51" customFormat="1" ht="29.25" customHeight="1" x14ac:dyDescent="0.2">
      <c r="B24" t="s">
        <v>329</v>
      </c>
      <c r="C24"/>
      <c r="D24" s="64" t="s">
        <v>94</v>
      </c>
      <c r="E24" s="110">
        <v>6445.7480999999998</v>
      </c>
      <c r="F24" s="39">
        <v>130.66</v>
      </c>
      <c r="G24" s="39"/>
      <c r="H24" s="61">
        <f t="shared" si="3"/>
        <v>3222.8740499999999</v>
      </c>
      <c r="I24" s="61">
        <f t="shared" si="4"/>
        <v>65.33</v>
      </c>
      <c r="J24" s="61">
        <f t="shared" si="5"/>
        <v>0</v>
      </c>
      <c r="K24" s="61">
        <f t="shared" si="6"/>
        <v>370.63051575000003</v>
      </c>
      <c r="L24" s="61"/>
      <c r="M24" s="61">
        <f t="shared" si="7"/>
        <v>2786.9135342499999</v>
      </c>
      <c r="N24" s="74"/>
      <c r="O24" s="146">
        <v>44237</v>
      </c>
      <c r="P24" s="144"/>
      <c r="Q24" s="137"/>
      <c r="R24" s="137"/>
      <c r="S24" s="137"/>
      <c r="T24" s="137"/>
      <c r="U24" s="137"/>
      <c r="V24" s="137"/>
      <c r="W24" s="137"/>
    </row>
    <row r="25" spans="1:27" s="51" customFormat="1" ht="29.25" customHeight="1" x14ac:dyDescent="0.2">
      <c r="B25" s="51" t="s">
        <v>171</v>
      </c>
      <c r="C25" s="75"/>
      <c r="D25" s="54" t="s">
        <v>66</v>
      </c>
      <c r="E25" s="110">
        <v>11622.091</v>
      </c>
      <c r="F25" s="39">
        <v>972.68</v>
      </c>
      <c r="G25" s="39"/>
      <c r="H25" s="61">
        <f t="shared" si="3"/>
        <v>5811.0455000000002</v>
      </c>
      <c r="I25" s="61">
        <f t="shared" si="4"/>
        <v>486.34</v>
      </c>
      <c r="J25" s="61">
        <f t="shared" si="5"/>
        <v>0</v>
      </c>
      <c r="K25" s="61">
        <f t="shared" si="6"/>
        <v>668.27023250000002</v>
      </c>
      <c r="L25" s="61">
        <v>556</v>
      </c>
      <c r="M25" s="61">
        <f t="shared" si="7"/>
        <v>4100.4352675</v>
      </c>
      <c r="N25" s="74"/>
      <c r="O25" s="144">
        <v>41835</v>
      </c>
      <c r="P25" s="137"/>
      <c r="Q25" s="137"/>
      <c r="R25" s="137"/>
      <c r="S25" s="137"/>
      <c r="T25" s="137"/>
      <c r="U25" s="137"/>
      <c r="V25" s="137"/>
      <c r="W25" s="137"/>
    </row>
    <row r="26" spans="1:27" s="51" customFormat="1" ht="29.25" customHeight="1" x14ac:dyDescent="0.2">
      <c r="B26" t="s">
        <v>332</v>
      </c>
      <c r="C26"/>
      <c r="D26" s="64" t="s">
        <v>407</v>
      </c>
      <c r="E26" s="110"/>
      <c r="F26" s="39"/>
      <c r="G26" s="39"/>
      <c r="H26" s="61">
        <f t="shared" si="3"/>
        <v>0</v>
      </c>
      <c r="I26" s="61">
        <f t="shared" si="4"/>
        <v>0</v>
      </c>
      <c r="J26" s="61">
        <f t="shared" si="5"/>
        <v>0</v>
      </c>
      <c r="K26" s="61">
        <f t="shared" si="6"/>
        <v>0</v>
      </c>
      <c r="L26" s="61"/>
      <c r="M26" s="61">
        <f t="shared" si="7"/>
        <v>0</v>
      </c>
      <c r="N26" s="74"/>
      <c r="O26" s="146">
        <v>43857</v>
      </c>
      <c r="P26" s="144"/>
      <c r="Q26" s="167"/>
      <c r="R26" s="167"/>
      <c r="S26" s="167"/>
      <c r="T26" s="167"/>
      <c r="U26" s="137"/>
      <c r="V26" s="137"/>
      <c r="W26" s="137"/>
    </row>
    <row r="27" spans="1:27" s="51" customFormat="1" ht="29.25" customHeight="1" x14ac:dyDescent="0.2">
      <c r="B27" s="2" t="s">
        <v>159</v>
      </c>
      <c r="C27" s="5"/>
      <c r="D27" s="54" t="s">
        <v>253</v>
      </c>
      <c r="E27" s="110">
        <v>15180.32</v>
      </c>
      <c r="F27" s="39">
        <v>1585.09</v>
      </c>
      <c r="G27" s="39"/>
      <c r="H27" s="61">
        <f t="shared" si="3"/>
        <v>7590.16</v>
      </c>
      <c r="I27" s="61">
        <f t="shared" si="4"/>
        <v>792.54499999999996</v>
      </c>
      <c r="J27" s="61">
        <f t="shared" si="5"/>
        <v>0</v>
      </c>
      <c r="K27" s="61">
        <f t="shared" si="6"/>
        <v>872.86840000000007</v>
      </c>
      <c r="L27" s="61"/>
      <c r="M27" s="61">
        <f t="shared" si="7"/>
        <v>5924.7465999999995</v>
      </c>
      <c r="N27" s="74"/>
      <c r="O27" s="144">
        <v>43409</v>
      </c>
      <c r="P27" s="135"/>
      <c r="Q27" s="137"/>
      <c r="R27" s="137"/>
      <c r="S27" s="137"/>
      <c r="T27" s="137"/>
      <c r="U27" s="137"/>
      <c r="V27" s="137"/>
      <c r="W27" s="137"/>
    </row>
    <row r="28" spans="1:27" s="51" customFormat="1" ht="29.25" customHeight="1" x14ac:dyDescent="0.2">
      <c r="B28" s="2" t="s">
        <v>490</v>
      </c>
      <c r="C28" s="5"/>
      <c r="D28" s="54" t="s">
        <v>366</v>
      </c>
      <c r="E28" s="110">
        <v>1950.14</v>
      </c>
      <c r="F28" s="39"/>
      <c r="G28" s="39">
        <v>315.45</v>
      </c>
      <c r="H28" s="61">
        <f t="shared" si="3"/>
        <v>975.07</v>
      </c>
      <c r="I28" s="61">
        <f t="shared" si="4"/>
        <v>0</v>
      </c>
      <c r="J28" s="61">
        <f t="shared" si="5"/>
        <v>157.72499999999999</v>
      </c>
      <c r="K28" s="61">
        <f>+H28*0.115</f>
        <v>112.13305000000001</v>
      </c>
      <c r="L28" s="61"/>
      <c r="M28" s="61">
        <f t="shared" si="7"/>
        <v>1020.66195</v>
      </c>
      <c r="N28" s="74"/>
      <c r="O28" s="144">
        <v>45017</v>
      </c>
      <c r="P28" s="135"/>
      <c r="Q28" s="137"/>
      <c r="R28" s="137"/>
      <c r="S28" s="137"/>
      <c r="T28" s="137"/>
      <c r="U28" s="137"/>
      <c r="V28" s="137"/>
      <c r="W28" s="137"/>
    </row>
    <row r="29" spans="1:27" s="51" customFormat="1" ht="29.25" customHeight="1" x14ac:dyDescent="0.2">
      <c r="B29" s="2" t="s">
        <v>114</v>
      </c>
      <c r="C29"/>
      <c r="D29" s="28" t="s">
        <v>93</v>
      </c>
      <c r="E29" s="110">
        <v>9918.5717000000004</v>
      </c>
      <c r="F29" s="39">
        <v>762.04</v>
      </c>
      <c r="G29" s="39"/>
      <c r="H29" s="61">
        <f t="shared" si="3"/>
        <v>4959.2858500000002</v>
      </c>
      <c r="I29" s="61">
        <f t="shared" si="4"/>
        <v>381.02</v>
      </c>
      <c r="J29" s="61">
        <f t="shared" si="5"/>
        <v>0</v>
      </c>
      <c r="K29" s="61">
        <f t="shared" si="6"/>
        <v>570.31787274999999</v>
      </c>
      <c r="L29" s="61"/>
      <c r="M29" s="61">
        <f t="shared" si="7"/>
        <v>4007.9479772499999</v>
      </c>
      <c r="N29" s="74"/>
      <c r="O29" s="144">
        <v>43374</v>
      </c>
      <c r="P29" s="135"/>
      <c r="Q29" s="137"/>
      <c r="R29" s="137"/>
      <c r="S29" s="137"/>
      <c r="T29" s="137"/>
      <c r="U29" s="137"/>
      <c r="V29" s="137"/>
      <c r="W29" s="137"/>
    </row>
    <row r="30" spans="1:27" s="51" customFormat="1" ht="29.25" customHeight="1" x14ac:dyDescent="0.2">
      <c r="B30" s="51" t="s">
        <v>208</v>
      </c>
      <c r="C30" s="75"/>
      <c r="D30" s="62" t="s">
        <v>17</v>
      </c>
      <c r="E30" s="110">
        <v>6814.1887000000006</v>
      </c>
      <c r="F30" s="39">
        <v>170.75</v>
      </c>
      <c r="G30" s="39"/>
      <c r="H30" s="61">
        <f t="shared" si="3"/>
        <v>3407.0943500000003</v>
      </c>
      <c r="I30" s="61">
        <f t="shared" si="4"/>
        <v>85.375</v>
      </c>
      <c r="J30" s="61">
        <f t="shared" si="5"/>
        <v>0</v>
      </c>
      <c r="K30" s="61">
        <f t="shared" si="6"/>
        <v>391.81585025000004</v>
      </c>
      <c r="L30" s="61"/>
      <c r="M30" s="61">
        <f t="shared" si="7"/>
        <v>2929.9034997500003</v>
      </c>
      <c r="N30" s="74"/>
      <c r="O30" s="144">
        <v>36617</v>
      </c>
      <c r="P30" s="137"/>
      <c r="Q30" s="137"/>
      <c r="R30" s="137"/>
      <c r="S30" s="137"/>
      <c r="T30" s="137"/>
      <c r="U30" s="137"/>
      <c r="V30" s="137"/>
      <c r="W30" s="137"/>
    </row>
    <row r="31" spans="1:27" ht="24.95" customHeight="1" x14ac:dyDescent="0.2">
      <c r="A31" s="81">
        <v>44288</v>
      </c>
      <c r="B31" s="2" t="s">
        <v>319</v>
      </c>
      <c r="C31" s="2"/>
      <c r="D31" s="28" t="s">
        <v>320</v>
      </c>
      <c r="E31" s="110">
        <v>7670.085</v>
      </c>
      <c r="F31" s="39">
        <v>517.41</v>
      </c>
      <c r="G31" s="39"/>
      <c r="H31" s="61">
        <f t="shared" si="3"/>
        <v>3835.0425</v>
      </c>
      <c r="I31" s="61">
        <f t="shared" si="4"/>
        <v>258.70499999999998</v>
      </c>
      <c r="J31" s="61">
        <f t="shared" si="5"/>
        <v>0</v>
      </c>
      <c r="K31" s="61">
        <f t="shared" si="6"/>
        <v>441.02988750000003</v>
      </c>
      <c r="L31" s="61"/>
      <c r="M31" s="61">
        <f t="shared" si="7"/>
        <v>3135.3076125000002</v>
      </c>
      <c r="N31" s="11"/>
      <c r="O31" s="142">
        <v>44470</v>
      </c>
      <c r="P31" s="136"/>
      <c r="Q31" s="147"/>
      <c r="R31" s="136"/>
      <c r="S31" s="136"/>
      <c r="T31" s="135"/>
      <c r="U31" s="135"/>
      <c r="V31" s="135"/>
      <c r="W31" s="135"/>
    </row>
    <row r="32" spans="1:27" s="51" customFormat="1" ht="29.25" customHeight="1" x14ac:dyDescent="0.2">
      <c r="B32" s="2" t="s">
        <v>504</v>
      </c>
      <c r="C32" s="75"/>
      <c r="D32" s="54" t="s">
        <v>366</v>
      </c>
      <c r="E32" s="110">
        <v>1950.14</v>
      </c>
      <c r="F32" s="39"/>
      <c r="G32" s="39">
        <v>315.45</v>
      </c>
      <c r="H32" s="61">
        <f t="shared" si="3"/>
        <v>975.07</v>
      </c>
      <c r="I32" s="61">
        <f t="shared" si="4"/>
        <v>0</v>
      </c>
      <c r="J32" s="61">
        <f t="shared" si="5"/>
        <v>157.72499999999999</v>
      </c>
      <c r="K32" s="61">
        <f>+H32*0.115</f>
        <v>112.13305000000001</v>
      </c>
      <c r="L32" s="61"/>
      <c r="M32" s="61">
        <f t="shared" ref="M32" si="16">+H32-I32+J32-K32-L32</f>
        <v>1020.66195</v>
      </c>
      <c r="N32" s="74"/>
      <c r="O32" s="144">
        <v>45047</v>
      </c>
      <c r="P32" s="137"/>
      <c r="Q32" s="137"/>
      <c r="R32" s="137"/>
      <c r="S32" s="137"/>
      <c r="T32" s="137"/>
      <c r="U32" s="137"/>
      <c r="V32" s="137"/>
      <c r="W32" s="137"/>
    </row>
    <row r="33" spans="2:26" ht="24.75" customHeight="1" x14ac:dyDescent="0.2">
      <c r="B33" s="2" t="s">
        <v>509</v>
      </c>
      <c r="D33" s="106" t="s">
        <v>510</v>
      </c>
      <c r="E33" s="110">
        <v>9918.5717000000004</v>
      </c>
      <c r="F33" s="39">
        <v>762.04</v>
      </c>
      <c r="G33" s="39"/>
      <c r="H33" s="61">
        <f t="shared" si="3"/>
        <v>4959.2858500000002</v>
      </c>
      <c r="I33" s="61">
        <f t="shared" si="4"/>
        <v>381.02</v>
      </c>
      <c r="J33" s="61">
        <f t="shared" si="5"/>
        <v>0</v>
      </c>
      <c r="K33" s="61">
        <f t="shared" ref="K33" si="17">+H33*0.115</f>
        <v>570.31787274999999</v>
      </c>
      <c r="L33" s="61"/>
      <c r="M33" s="61">
        <f t="shared" ref="M33" si="18">+H33-I33+J33-K33-L33</f>
        <v>4007.9479772499999</v>
      </c>
      <c r="N33" s="11"/>
      <c r="O33" s="146">
        <v>45078</v>
      </c>
      <c r="P33" s="144"/>
      <c r="Q33" s="139"/>
      <c r="R33" s="139"/>
      <c r="S33" s="137"/>
      <c r="T33" s="137"/>
      <c r="U33" s="137"/>
      <c r="V33" s="137"/>
      <c r="W33" s="137"/>
      <c r="X33" s="51"/>
      <c r="Y33" s="51"/>
      <c r="Z33" s="51"/>
    </row>
    <row r="34" spans="2:26" ht="24.75" customHeight="1" x14ac:dyDescent="0.2">
      <c r="B34" s="2" t="s">
        <v>508</v>
      </c>
      <c r="D34" s="64" t="s">
        <v>507</v>
      </c>
      <c r="E34" s="110">
        <v>8625.3612499999999</v>
      </c>
      <c r="F34" s="39">
        <v>621.34</v>
      </c>
      <c r="G34" s="39"/>
      <c r="H34" s="61">
        <f t="shared" si="3"/>
        <v>4312.680625</v>
      </c>
      <c r="I34" s="61">
        <f t="shared" si="4"/>
        <v>310.67</v>
      </c>
      <c r="J34" s="61">
        <f t="shared" si="5"/>
        <v>0</v>
      </c>
      <c r="K34" s="61">
        <f t="shared" ref="K34" si="19">+H34*0.115</f>
        <v>495.95827187500004</v>
      </c>
      <c r="L34" s="61"/>
      <c r="M34" s="61">
        <f t="shared" ref="M34" si="20">+H34-I34+J34-K34-L34</f>
        <v>3506.0523531250001</v>
      </c>
      <c r="N34" s="11"/>
      <c r="O34" s="146">
        <v>45078</v>
      </c>
      <c r="P34" s="144"/>
      <c r="Q34" s="139"/>
      <c r="R34" s="139"/>
      <c r="S34" s="137"/>
      <c r="T34" s="137"/>
      <c r="U34" s="137"/>
      <c r="V34" s="137"/>
      <c r="W34" s="137"/>
      <c r="X34" s="51"/>
      <c r="Y34" s="51"/>
      <c r="Z34" s="51"/>
    </row>
    <row r="35" spans="2:26" s="51" customFormat="1" ht="29.25" customHeight="1" x14ac:dyDescent="0.2">
      <c r="B35" s="51" t="s">
        <v>209</v>
      </c>
      <c r="C35" s="75"/>
      <c r="D35" s="62" t="s">
        <v>109</v>
      </c>
      <c r="E35" s="110">
        <v>6445.7480999999998</v>
      </c>
      <c r="F35" s="39">
        <v>130.66</v>
      </c>
      <c r="G35" s="39"/>
      <c r="H35" s="61">
        <f t="shared" si="3"/>
        <v>3222.8740499999999</v>
      </c>
      <c r="I35" s="61">
        <f t="shared" si="4"/>
        <v>65.33</v>
      </c>
      <c r="J35" s="61">
        <f t="shared" si="5"/>
        <v>0</v>
      </c>
      <c r="K35" s="61">
        <f t="shared" si="6"/>
        <v>370.63051575000003</v>
      </c>
      <c r="L35" s="61"/>
      <c r="M35" s="61">
        <f t="shared" si="7"/>
        <v>2786.9135342499999</v>
      </c>
      <c r="N35" s="74"/>
      <c r="O35" s="142">
        <v>43101</v>
      </c>
      <c r="P35" s="137"/>
      <c r="Q35" s="137"/>
      <c r="R35" s="137"/>
      <c r="S35" s="143"/>
      <c r="T35" s="137"/>
      <c r="U35" s="137"/>
      <c r="V35" s="137"/>
      <c r="W35" s="137"/>
    </row>
    <row r="36" spans="2:26" ht="21.95" customHeight="1" x14ac:dyDescent="0.2">
      <c r="B36" s="51" t="s">
        <v>206</v>
      </c>
      <c r="C36" s="75"/>
      <c r="D36" s="62" t="s">
        <v>16</v>
      </c>
      <c r="E36" s="110">
        <v>8625.3612499999999</v>
      </c>
      <c r="F36" s="39">
        <v>621.34</v>
      </c>
      <c r="G36" s="39"/>
      <c r="H36" s="61">
        <f t="shared" si="3"/>
        <v>4312.680625</v>
      </c>
      <c r="I36" s="61">
        <f t="shared" si="4"/>
        <v>310.67</v>
      </c>
      <c r="J36" s="61">
        <f t="shared" si="5"/>
        <v>0</v>
      </c>
      <c r="K36" s="61">
        <f t="shared" si="6"/>
        <v>495.95827187500004</v>
      </c>
      <c r="L36" s="61">
        <f>1211.81+413+95.03</f>
        <v>1719.84</v>
      </c>
      <c r="M36" s="61">
        <f t="shared" si="7"/>
        <v>1786.2123531250002</v>
      </c>
      <c r="N36" s="11"/>
      <c r="O36" s="144">
        <v>37347</v>
      </c>
      <c r="P36" s="137"/>
      <c r="Q36" s="135"/>
      <c r="R36" s="135"/>
      <c r="S36" s="135"/>
      <c r="T36" s="135"/>
      <c r="U36" s="135"/>
      <c r="V36" s="135"/>
      <c r="W36" s="135"/>
    </row>
    <row r="37" spans="2:26" s="51" customFormat="1" ht="29.25" customHeight="1" x14ac:dyDescent="0.2">
      <c r="B37" s="51" t="s">
        <v>207</v>
      </c>
      <c r="C37" s="75"/>
      <c r="D37" s="62" t="s">
        <v>16</v>
      </c>
      <c r="E37" s="110">
        <v>8094.1863999999996</v>
      </c>
      <c r="F37" s="39">
        <v>563.54999999999995</v>
      </c>
      <c r="G37" s="39"/>
      <c r="H37" s="61">
        <f t="shared" si="3"/>
        <v>4047.0931999999998</v>
      </c>
      <c r="I37" s="61">
        <f t="shared" si="4"/>
        <v>281.77499999999998</v>
      </c>
      <c r="J37" s="61">
        <f t="shared" si="5"/>
        <v>0</v>
      </c>
      <c r="K37" s="61">
        <f t="shared" si="6"/>
        <v>465.41571799999997</v>
      </c>
      <c r="L37" s="61"/>
      <c r="M37" s="61">
        <f t="shared" si="7"/>
        <v>3299.9024819999995</v>
      </c>
      <c r="N37" s="74"/>
      <c r="O37" s="144">
        <v>36629</v>
      </c>
      <c r="P37" s="137"/>
      <c r="Q37" s="137"/>
      <c r="R37" s="137"/>
      <c r="S37" s="143"/>
      <c r="T37" s="137"/>
      <c r="U37" s="137"/>
      <c r="V37" s="137"/>
      <c r="W37" s="137"/>
    </row>
    <row r="38" spans="2:26" s="51" customFormat="1" ht="29.25" customHeight="1" x14ac:dyDescent="0.2">
      <c r="B38" s="51" t="s">
        <v>541</v>
      </c>
      <c r="C38" s="75"/>
      <c r="D38" s="62" t="s">
        <v>247</v>
      </c>
      <c r="E38" s="110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ref="K38" si="21">+H38*0.115</f>
        <v>441.02988750000003</v>
      </c>
      <c r="L38" s="61"/>
      <c r="M38" s="61">
        <f t="shared" ref="M38" si="22">+H38-I38+J38-K38-L38</f>
        <v>3135.3076125000002</v>
      </c>
      <c r="N38" s="74"/>
      <c r="O38" s="144">
        <v>45292</v>
      </c>
      <c r="P38" s="137"/>
      <c r="Q38" s="137"/>
      <c r="R38" s="137"/>
      <c r="S38" s="143"/>
      <c r="T38" s="137"/>
      <c r="U38" s="137"/>
      <c r="V38" s="137"/>
      <c r="W38" s="137"/>
    </row>
    <row r="39" spans="2:26" s="51" customFormat="1" ht="29.25" customHeight="1" x14ac:dyDescent="0.2">
      <c r="B39" t="s">
        <v>351</v>
      </c>
      <c r="C39"/>
      <c r="D39" s="64" t="s">
        <v>547</v>
      </c>
      <c r="E39" s="110">
        <v>9918.5717000000004</v>
      </c>
      <c r="F39" s="39">
        <v>762.04</v>
      </c>
      <c r="G39" s="39"/>
      <c r="H39" s="61">
        <f t="shared" si="3"/>
        <v>4959.2858500000002</v>
      </c>
      <c r="I39" s="61">
        <f t="shared" si="4"/>
        <v>381.02</v>
      </c>
      <c r="J39" s="61">
        <f t="shared" si="5"/>
        <v>0</v>
      </c>
      <c r="K39" s="61">
        <f t="shared" ref="K39:K40" si="23">+H39*0.115</f>
        <v>570.31787274999999</v>
      </c>
      <c r="L39" s="61"/>
      <c r="M39" s="61">
        <f t="shared" ref="M39:M40" si="24">+H39-I39+J39-K39-L39</f>
        <v>4007.9479772499999</v>
      </c>
      <c r="N39" s="74"/>
      <c r="O39" s="142">
        <v>44470</v>
      </c>
      <c r="P39" s="144"/>
      <c r="Q39" s="137"/>
      <c r="R39" s="137"/>
      <c r="S39" s="143"/>
      <c r="T39" s="137"/>
      <c r="U39" s="137"/>
      <c r="V39" s="137"/>
      <c r="W39" s="137"/>
    </row>
    <row r="40" spans="2:26" s="51" customFormat="1" ht="29.25" customHeight="1" x14ac:dyDescent="0.2">
      <c r="B40" s="51" t="s">
        <v>511</v>
      </c>
      <c r="C40"/>
      <c r="D40" s="106" t="s">
        <v>512</v>
      </c>
      <c r="E40" s="110">
        <v>9918.5717000000004</v>
      </c>
      <c r="F40" s="39">
        <v>762.04</v>
      </c>
      <c r="G40" s="39"/>
      <c r="H40" s="61">
        <f t="shared" si="3"/>
        <v>4959.2858500000002</v>
      </c>
      <c r="I40" s="61">
        <f t="shared" si="4"/>
        <v>381.02</v>
      </c>
      <c r="J40" s="61">
        <f t="shared" si="5"/>
        <v>0</v>
      </c>
      <c r="K40" s="61">
        <f t="shared" si="23"/>
        <v>570.31787274999999</v>
      </c>
      <c r="L40" s="61"/>
      <c r="M40" s="61">
        <f t="shared" si="24"/>
        <v>4007.9479772499999</v>
      </c>
      <c r="N40" s="74"/>
      <c r="O40" s="142">
        <v>45078</v>
      </c>
      <c r="P40" s="144"/>
      <c r="Q40" s="137"/>
      <c r="R40" s="137"/>
      <c r="S40" s="143"/>
      <c r="T40" s="137"/>
      <c r="U40" s="137"/>
      <c r="V40" s="137"/>
      <c r="W40" s="137"/>
    </row>
    <row r="41" spans="2:26" s="51" customFormat="1" ht="29.25" customHeight="1" x14ac:dyDescent="0.2">
      <c r="D41" s="25" t="s">
        <v>9</v>
      </c>
      <c r="E41" s="41">
        <f>SUM(E6:E40)</f>
        <v>292150.22479999997</v>
      </c>
      <c r="F41" s="41">
        <f>SUM(F6:F40)</f>
        <v>23239.56</v>
      </c>
      <c r="G41" s="41">
        <f>SUM(G6:G40)</f>
        <v>1796.64</v>
      </c>
      <c r="H41" s="26">
        <f>SUM(H6:H40)</f>
        <v>146075.11239999998</v>
      </c>
      <c r="I41" s="26">
        <f t="shared" ref="I41:M41" si="25">SUM(I6:I40)</f>
        <v>11619.78</v>
      </c>
      <c r="J41" s="26">
        <f t="shared" si="25"/>
        <v>898.32</v>
      </c>
      <c r="K41" s="26">
        <f t="shared" si="25"/>
        <v>16217.214601000001</v>
      </c>
      <c r="L41" s="26">
        <f t="shared" si="25"/>
        <v>4952.84</v>
      </c>
      <c r="M41" s="26">
        <f t="shared" si="25"/>
        <v>114183.59779899998</v>
      </c>
    </row>
    <row r="42" spans="2:26" ht="21.95" customHeight="1" x14ac:dyDescent="0.2">
      <c r="D42" s="25"/>
      <c r="E42" s="41"/>
      <c r="F42" s="41"/>
      <c r="G42" s="41"/>
      <c r="H42" s="26"/>
      <c r="I42" s="26"/>
      <c r="J42" s="26"/>
      <c r="K42" s="26"/>
      <c r="L42" s="26"/>
      <c r="M42" s="26"/>
    </row>
    <row r="43" spans="2:26" ht="21.95" customHeight="1" x14ac:dyDescent="0.2"/>
  </sheetData>
  <autoFilter ref="B1:K43"/>
  <sortState ref="B9:N36">
    <sortCondition ref="B9:B36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1"/>
  <sheetViews>
    <sheetView topLeftCell="B1" zoomScaleNormal="100" workbookViewId="0">
      <selection activeCell="P1" sqref="P1:S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144" bestFit="1" customWidth="1"/>
    <col min="17" max="19" width="11.42578125" style="135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334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2024</v>
      </c>
    </row>
    <row r="3" spans="1:19" x14ac:dyDescent="0.2">
      <c r="E3" s="16" t="str">
        <f>PRESIDENCIA!E3</f>
        <v>SEGUNDA QUINCENA DE JULIO DE 2024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 t="s">
        <v>33</v>
      </c>
      <c r="H5" s="18" t="s">
        <v>4</v>
      </c>
      <c r="I5" s="18" t="s">
        <v>29</v>
      </c>
      <c r="J5" s="45" t="s">
        <v>240</v>
      </c>
      <c r="K5" s="102" t="s">
        <v>400</v>
      </c>
      <c r="L5" s="113" t="s">
        <v>496</v>
      </c>
      <c r="M5" s="18" t="s">
        <v>5</v>
      </c>
      <c r="N5" s="17" t="s">
        <v>6</v>
      </c>
      <c r="O5" s="37" t="s">
        <v>365</v>
      </c>
      <c r="P5" s="145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231</v>
      </c>
      <c r="C7" s="5"/>
      <c r="D7" s="82" t="s">
        <v>335</v>
      </c>
      <c r="E7" s="110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6">
        <v>43374</v>
      </c>
      <c r="Q7" s="143"/>
      <c r="R7" s="143"/>
      <c r="S7" s="143"/>
    </row>
    <row r="8" spans="1:19" ht="25.5" customHeight="1" x14ac:dyDescent="0.2">
      <c r="A8" s="9"/>
      <c r="B8" s="2" t="s">
        <v>414</v>
      </c>
      <c r="C8" s="5"/>
      <c r="D8" s="82" t="s">
        <v>415</v>
      </c>
      <c r="E8" s="110">
        <v>4969.96</v>
      </c>
      <c r="F8" s="39"/>
      <c r="G8" s="39">
        <v>40.22</v>
      </c>
      <c r="H8" s="7">
        <f t="shared" ref="H8:H18" si="0">E8/2</f>
        <v>2484.98</v>
      </c>
      <c r="I8" s="7">
        <f t="shared" ref="I8:I18" si="1">F8/2</f>
        <v>0</v>
      </c>
      <c r="J8" s="7">
        <f t="shared" ref="J8:J18" si="2">+G8/2</f>
        <v>20.11</v>
      </c>
      <c r="K8" s="7"/>
      <c r="L8" s="7"/>
      <c r="M8" s="7">
        <f t="shared" ref="M8:M18" si="3">H8-I8+J8-K8-L8</f>
        <v>2505.09</v>
      </c>
      <c r="N8" s="11"/>
      <c r="O8" s="96">
        <v>44667</v>
      </c>
      <c r="Q8" s="143"/>
      <c r="R8" s="143"/>
      <c r="S8" s="143"/>
    </row>
    <row r="9" spans="1:19" ht="25.5" customHeight="1" x14ac:dyDescent="0.2">
      <c r="A9" s="9"/>
      <c r="B9" s="2" t="s">
        <v>493</v>
      </c>
      <c r="C9" s="5"/>
      <c r="D9" s="82" t="s">
        <v>494</v>
      </c>
      <c r="E9" s="110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6">
        <v>45017</v>
      </c>
      <c r="Q9" s="143"/>
      <c r="R9" s="143"/>
      <c r="S9" s="143"/>
    </row>
    <row r="10" spans="1:19" ht="25.5" customHeight="1" x14ac:dyDescent="0.2">
      <c r="A10" s="9"/>
      <c r="B10" s="2" t="s">
        <v>362</v>
      </c>
      <c r="C10" s="5"/>
      <c r="D10" s="82" t="s">
        <v>364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96">
        <v>44485</v>
      </c>
      <c r="P10" s="135"/>
      <c r="R10" s="143"/>
      <c r="S10" s="143"/>
    </row>
    <row r="11" spans="1:19" ht="25.5" customHeight="1" x14ac:dyDescent="0.2">
      <c r="A11" s="9"/>
      <c r="B11" s="2" t="s">
        <v>514</v>
      </c>
      <c r="C11" s="5"/>
      <c r="D11" s="82" t="s">
        <v>484</v>
      </c>
      <c r="E11" s="110">
        <v>8139.7</v>
      </c>
      <c r="F11" s="39">
        <v>568.5</v>
      </c>
      <c r="G11" s="39"/>
      <c r="H11" s="7">
        <f t="shared" si="0"/>
        <v>4069.85</v>
      </c>
      <c r="I11" s="7">
        <f t="shared" si="1"/>
        <v>284.25</v>
      </c>
      <c r="J11" s="7">
        <f t="shared" si="2"/>
        <v>0</v>
      </c>
      <c r="K11" s="7">
        <f>+H11*0.115</f>
        <v>468.03275000000002</v>
      </c>
      <c r="L11" s="7"/>
      <c r="M11" s="7">
        <f t="shared" si="3"/>
        <v>3317.5672500000001</v>
      </c>
      <c r="N11" s="11"/>
      <c r="O11" s="96">
        <v>45078</v>
      </c>
      <c r="P11" s="135"/>
      <c r="R11" s="143"/>
      <c r="S11" s="143"/>
    </row>
    <row r="12" spans="1:19" ht="25.5" customHeight="1" x14ac:dyDescent="0.2">
      <c r="A12" s="9"/>
      <c r="B12" s="2" t="s">
        <v>363</v>
      </c>
      <c r="C12" s="5"/>
      <c r="D12" s="82" t="s">
        <v>364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96">
        <v>44485</v>
      </c>
      <c r="P12" s="135"/>
      <c r="R12" s="143"/>
      <c r="S12" s="143"/>
    </row>
    <row r="13" spans="1:19" ht="25.5" customHeight="1" x14ac:dyDescent="0.2">
      <c r="A13" s="9"/>
      <c r="B13" s="2" t="s">
        <v>381</v>
      </c>
      <c r="C13" s="5"/>
      <c r="D13" s="82" t="s">
        <v>382</v>
      </c>
      <c r="E13" s="111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8" si="4">+H13*0.115</f>
        <v>720.14814412500004</v>
      </c>
      <c r="L13" s="7"/>
      <c r="M13" s="7">
        <f t="shared" si="3"/>
        <v>4983.4896308749994</v>
      </c>
      <c r="N13" s="11"/>
      <c r="O13" s="96">
        <v>44531</v>
      </c>
      <c r="Q13" s="143"/>
      <c r="R13" s="143"/>
      <c r="S13" s="143"/>
    </row>
    <row r="14" spans="1:19" ht="25.5" customHeight="1" x14ac:dyDescent="0.2">
      <c r="A14" s="9"/>
      <c r="B14" s="2" t="s">
        <v>528</v>
      </c>
      <c r="C14" s="5"/>
      <c r="D14" s="82" t="s">
        <v>247</v>
      </c>
      <c r="E14" s="110">
        <v>7670.085</v>
      </c>
      <c r="F14" s="39">
        <v>517.41</v>
      </c>
      <c r="G14" s="39"/>
      <c r="H14" s="7">
        <f t="shared" si="0"/>
        <v>3835.0425</v>
      </c>
      <c r="I14" s="7">
        <f t="shared" si="1"/>
        <v>258.70499999999998</v>
      </c>
      <c r="J14" s="7">
        <f t="shared" si="2"/>
        <v>0</v>
      </c>
      <c r="K14" s="61">
        <f t="shared" si="4"/>
        <v>441.02988750000003</v>
      </c>
      <c r="L14" s="7"/>
      <c r="M14" s="7">
        <f t="shared" si="3"/>
        <v>3135.3076125000002</v>
      </c>
      <c r="N14" s="11"/>
      <c r="O14" s="96">
        <v>45160</v>
      </c>
      <c r="Q14" s="143"/>
      <c r="R14" s="143"/>
      <c r="S14" s="143"/>
    </row>
    <row r="15" spans="1:19" ht="25.5" customHeight="1" x14ac:dyDescent="0.2">
      <c r="B15" s="2" t="s">
        <v>479</v>
      </c>
      <c r="C15" s="51"/>
      <c r="D15" s="54" t="s">
        <v>246</v>
      </c>
      <c r="E15" s="110">
        <v>8625.3612499999999</v>
      </c>
      <c r="F15" s="39">
        <v>621.34</v>
      </c>
      <c r="G15" s="39"/>
      <c r="H15" s="7">
        <f t="shared" si="0"/>
        <v>4312.680625</v>
      </c>
      <c r="I15" s="7">
        <f t="shared" si="1"/>
        <v>310.67</v>
      </c>
      <c r="J15" s="7">
        <f t="shared" si="2"/>
        <v>0</v>
      </c>
      <c r="K15" s="7"/>
      <c r="L15" s="7"/>
      <c r="M15" s="7">
        <f t="shared" si="3"/>
        <v>4002.0106249999999</v>
      </c>
      <c r="N15" s="11"/>
      <c r="O15" s="96">
        <v>44927</v>
      </c>
      <c r="P15" s="147"/>
      <c r="Q15" s="144"/>
      <c r="R15" s="136"/>
    </row>
    <row r="16" spans="1:19" ht="25.5" customHeight="1" x14ac:dyDescent="0.2">
      <c r="A16" s="9"/>
      <c r="B16" t="s">
        <v>338</v>
      </c>
      <c r="C16" s="51"/>
      <c r="D16" s="75" t="s">
        <v>339</v>
      </c>
      <c r="E16" s="110">
        <v>16598.157599999999</v>
      </c>
      <c r="F16" s="39">
        <v>1877.37</v>
      </c>
      <c r="G16" s="39"/>
      <c r="H16" s="7">
        <f t="shared" si="0"/>
        <v>8299.0787999999993</v>
      </c>
      <c r="I16" s="7">
        <f t="shared" si="1"/>
        <v>938.68499999999995</v>
      </c>
      <c r="J16" s="7">
        <f t="shared" si="2"/>
        <v>0</v>
      </c>
      <c r="K16" s="7">
        <f t="shared" si="4"/>
        <v>954.39406199999996</v>
      </c>
      <c r="L16" s="7"/>
      <c r="M16" s="7">
        <f t="shared" si="3"/>
        <v>6405.9997379999995</v>
      </c>
      <c r="N16" s="11"/>
      <c r="O16" s="96">
        <v>43865</v>
      </c>
      <c r="Q16" s="150"/>
      <c r="R16" s="150"/>
    </row>
    <row r="17" spans="1:19" s="51" customFormat="1" ht="25.5" customHeight="1" x14ac:dyDescent="0.2">
      <c r="A17" s="9"/>
      <c r="B17" s="51" t="s">
        <v>336</v>
      </c>
      <c r="C17" s="75"/>
      <c r="D17" s="62" t="s">
        <v>337</v>
      </c>
      <c r="E17" s="110">
        <v>11274.556649999999</v>
      </c>
      <c r="F17" s="39">
        <v>917.08</v>
      </c>
      <c r="G17" s="39"/>
      <c r="H17" s="7">
        <f t="shared" si="0"/>
        <v>5637.2783249999993</v>
      </c>
      <c r="I17" s="7">
        <f t="shared" si="1"/>
        <v>458.54</v>
      </c>
      <c r="J17" s="7">
        <f t="shared" si="2"/>
        <v>0</v>
      </c>
      <c r="K17" s="7">
        <f t="shared" si="4"/>
        <v>648.28700737499992</v>
      </c>
      <c r="L17" s="7"/>
      <c r="M17" s="7">
        <f t="shared" si="3"/>
        <v>4530.4513176249993</v>
      </c>
      <c r="N17" s="74"/>
      <c r="O17" s="96">
        <v>44470</v>
      </c>
      <c r="P17" s="145"/>
      <c r="Q17" s="137"/>
      <c r="R17" s="137"/>
      <c r="S17" s="137"/>
    </row>
    <row r="18" spans="1:19" s="51" customFormat="1" ht="25.5" customHeight="1" x14ac:dyDescent="0.2">
      <c r="A18" s="9"/>
      <c r="B18" s="51" t="s">
        <v>203</v>
      </c>
      <c r="C18" s="75"/>
      <c r="D18" s="62" t="s">
        <v>246</v>
      </c>
      <c r="E18" s="110">
        <v>9918.5717000000004</v>
      </c>
      <c r="F18" s="39">
        <v>762.04</v>
      </c>
      <c r="G18" s="39"/>
      <c r="H18" s="7">
        <f t="shared" si="0"/>
        <v>4959.2858500000002</v>
      </c>
      <c r="I18" s="7">
        <f t="shared" si="1"/>
        <v>381.02</v>
      </c>
      <c r="J18" s="7">
        <f t="shared" si="2"/>
        <v>0</v>
      </c>
      <c r="K18" s="7">
        <f t="shared" si="4"/>
        <v>570.31787274999999</v>
      </c>
      <c r="L18" s="7"/>
      <c r="M18" s="7">
        <f t="shared" si="3"/>
        <v>4007.9479772499999</v>
      </c>
      <c r="N18" s="74"/>
      <c r="O18" s="96">
        <v>43374</v>
      </c>
      <c r="P18" s="145"/>
      <c r="Q18" s="137"/>
      <c r="R18" s="137"/>
      <c r="S18" s="137"/>
    </row>
    <row r="19" spans="1:19" s="51" customFormat="1" ht="29.25" customHeight="1" x14ac:dyDescent="0.2">
      <c r="D19" s="25" t="s">
        <v>9</v>
      </c>
      <c r="E19" s="41">
        <f>SUM(E6:E17)</f>
        <v>124124.29170000002</v>
      </c>
      <c r="F19" s="41">
        <f>SUM(F6:F17)</f>
        <v>11455.199999999999</v>
      </c>
      <c r="G19" s="41">
        <f>SUM(G6:G17)</f>
        <v>40.22</v>
      </c>
      <c r="H19" s="26">
        <f t="shared" ref="H19:M19" si="5">SUM(H6:H18)</f>
        <v>67021.431700000016</v>
      </c>
      <c r="I19" s="26">
        <f t="shared" si="5"/>
        <v>6108.619999999999</v>
      </c>
      <c r="J19" s="26">
        <f t="shared" si="5"/>
        <v>20.11</v>
      </c>
      <c r="K19" s="26">
        <f t="shared" si="5"/>
        <v>5633.9881236250003</v>
      </c>
      <c r="L19" s="26">
        <f t="shared" si="5"/>
        <v>0</v>
      </c>
      <c r="M19" s="26">
        <f t="shared" si="5"/>
        <v>55298.933576374999</v>
      </c>
      <c r="P19" s="145"/>
      <c r="Q19" s="137"/>
      <c r="R19" s="137"/>
      <c r="S19" s="137"/>
    </row>
    <row r="20" spans="1:19" ht="21.95" customHeight="1" x14ac:dyDescent="0.2"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9" ht="21.95" customHeight="1" x14ac:dyDescent="0.2"/>
  </sheetData>
  <sortState ref="A16:N18">
    <sortCondition ref="B16:B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AU57"/>
  <sheetViews>
    <sheetView topLeftCell="B1" zoomScale="90" zoomScaleNormal="90" workbookViewId="0">
      <selection activeCell="D9" sqref="D9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04" bestFit="1" customWidth="1"/>
    <col min="16" max="16" width="21.28515625" bestFit="1" customWidth="1"/>
  </cols>
  <sheetData>
    <row r="1" spans="2:47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47" ht="15" x14ac:dyDescent="0.25">
      <c r="E2" s="59" t="s">
        <v>95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31 DE JULIO DE 2024</v>
      </c>
    </row>
    <row r="3" spans="2:47" x14ac:dyDescent="0.2">
      <c r="E3" s="16" t="str">
        <f>PRESIDENCIA!E3</f>
        <v>SEGUNDA QUINCENA DE JULIO DE 2024</v>
      </c>
      <c r="F3" s="58"/>
      <c r="G3" s="58"/>
      <c r="H3" s="58"/>
      <c r="I3" s="58"/>
      <c r="J3" s="58"/>
      <c r="K3" s="58"/>
      <c r="L3" s="58"/>
      <c r="M3" s="58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</row>
    <row r="4" spans="2:47" x14ac:dyDescent="0.2">
      <c r="E4" s="46"/>
      <c r="F4" s="58"/>
      <c r="G4" s="58"/>
      <c r="H4" s="58"/>
      <c r="I4" s="58"/>
      <c r="J4" s="58"/>
      <c r="K4" s="58"/>
      <c r="L4" s="58"/>
      <c r="M4" s="58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</row>
    <row r="5" spans="2:47" ht="25.5" x14ac:dyDescent="0.2">
      <c r="B5" s="17" t="s">
        <v>3</v>
      </c>
      <c r="C5" s="17"/>
      <c r="D5" s="17" t="s">
        <v>11</v>
      </c>
      <c r="E5" s="44" t="s">
        <v>4</v>
      </c>
      <c r="F5" s="44" t="s">
        <v>29</v>
      </c>
      <c r="G5" s="44"/>
      <c r="H5" s="18" t="s">
        <v>4</v>
      </c>
      <c r="I5" s="18" t="s">
        <v>29</v>
      </c>
      <c r="J5" s="45" t="s">
        <v>33</v>
      </c>
      <c r="K5" s="102" t="s">
        <v>400</v>
      </c>
      <c r="L5" s="113" t="s">
        <v>496</v>
      </c>
      <c r="M5" s="18" t="s">
        <v>5</v>
      </c>
      <c r="N5" s="17" t="s">
        <v>6</v>
      </c>
      <c r="O5" s="168" t="s">
        <v>365</v>
      </c>
      <c r="P5" s="151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</row>
    <row r="6" spans="2:47" ht="1.5" customHeight="1" x14ac:dyDescent="0.2">
      <c r="E6" s="39"/>
      <c r="F6" s="39"/>
      <c r="G6" s="39"/>
      <c r="O6" s="169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</row>
    <row r="7" spans="2:47" x14ac:dyDescent="0.2">
      <c r="B7" s="10" t="s">
        <v>212</v>
      </c>
      <c r="C7" s="9"/>
      <c r="D7" s="54" t="s">
        <v>340</v>
      </c>
      <c r="E7" s="110">
        <v>26523.14055</v>
      </c>
      <c r="F7" s="39">
        <v>3997.35</v>
      </c>
      <c r="G7" s="117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70">
        <v>42733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</row>
    <row r="8" spans="2:47" ht="45" x14ac:dyDescent="0.2">
      <c r="B8" s="10" t="s">
        <v>370</v>
      </c>
      <c r="C8" s="9"/>
      <c r="D8" s="54" t="s">
        <v>371</v>
      </c>
      <c r="E8" s="118">
        <v>30312.959999999999</v>
      </c>
      <c r="F8" s="39">
        <v>4806.8500000000004</v>
      </c>
      <c r="G8" s="117"/>
      <c r="H8" s="21">
        <f t="shared" ref="H8:H54" si="1">+E8/2</f>
        <v>15156.48</v>
      </c>
      <c r="I8" s="21">
        <f t="shared" ref="I8:I54" si="2">+F8/2</f>
        <v>2403.4250000000002</v>
      </c>
      <c r="J8" s="21">
        <f t="shared" ref="J8:J54" si="3">+G8/2</f>
        <v>0</v>
      </c>
      <c r="K8" s="21"/>
      <c r="L8" s="21"/>
      <c r="M8" s="21">
        <f t="shared" ref="M8:M54" si="4">H8-I8+J8-K8-L8</f>
        <v>12753.055</v>
      </c>
      <c r="N8" s="11"/>
      <c r="O8" s="170">
        <v>44501</v>
      </c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</row>
    <row r="9" spans="2:47" ht="24.95" customHeight="1" x14ac:dyDescent="0.25">
      <c r="D9" s="83" t="s">
        <v>24</v>
      </c>
      <c r="E9" s="110">
        <v>13094.849900000001</v>
      </c>
      <c r="F9" s="39">
        <v>1211.3800000000001</v>
      </c>
      <c r="G9" s="110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4" si="5">+H9*0.115</f>
        <v>752.95386925000014</v>
      </c>
      <c r="L9" s="21">
        <v>430</v>
      </c>
      <c r="M9" s="21">
        <f t="shared" si="4"/>
        <v>4758.78108075</v>
      </c>
      <c r="N9" s="11"/>
      <c r="O9" s="149">
        <v>43922</v>
      </c>
      <c r="P9" s="171"/>
      <c r="Q9" s="138"/>
      <c r="R9" s="138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</row>
    <row r="10" spans="2:47" ht="24.95" customHeight="1" x14ac:dyDescent="0.2">
      <c r="B10" s="10"/>
      <c r="C10" s="9"/>
      <c r="D10" s="9" t="s">
        <v>24</v>
      </c>
      <c r="E10" s="110">
        <v>13094.849900000001</v>
      </c>
      <c r="F10" s="39">
        <v>1211.3800000000001</v>
      </c>
      <c r="G10" s="110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1248</v>
      </c>
      <c r="M10" s="21">
        <f t="shared" si="4"/>
        <v>3940.78108075</v>
      </c>
      <c r="N10" s="11"/>
      <c r="O10" s="170">
        <v>42675</v>
      </c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</row>
    <row r="11" spans="2:47" ht="24.95" customHeight="1" x14ac:dyDescent="0.2">
      <c r="B11" s="10" t="s">
        <v>472</v>
      </c>
      <c r="C11" s="9"/>
      <c r="D11" s="83" t="s">
        <v>97</v>
      </c>
      <c r="E11" s="110">
        <v>9918.5717000000004</v>
      </c>
      <c r="F11" s="39">
        <v>762.04</v>
      </c>
      <c r="G11" s="110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70">
        <v>44806</v>
      </c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</row>
    <row r="12" spans="2:47" ht="24.95" customHeight="1" x14ac:dyDescent="0.2">
      <c r="D12" s="83" t="s">
        <v>24</v>
      </c>
      <c r="E12" s="110">
        <v>13094.849900000001</v>
      </c>
      <c r="F12" s="39">
        <v>1211.3800000000001</v>
      </c>
      <c r="G12" s="110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49">
        <v>44242</v>
      </c>
      <c r="P12" s="144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</row>
    <row r="13" spans="2:47" ht="24.95" customHeight="1" x14ac:dyDescent="0.2">
      <c r="D13" s="83" t="s">
        <v>24</v>
      </c>
      <c r="E13" s="110">
        <v>13094.849900000001</v>
      </c>
      <c r="F13" s="39">
        <v>1211.3800000000001</v>
      </c>
      <c r="G13" s="110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49">
        <v>45108</v>
      </c>
      <c r="P13" s="144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</row>
    <row r="14" spans="2:47" ht="24.95" customHeight="1" x14ac:dyDescent="0.2">
      <c r="B14" s="3"/>
      <c r="C14" s="3"/>
      <c r="D14" s="9" t="s">
        <v>341</v>
      </c>
      <c r="E14" s="110">
        <v>14471.3843</v>
      </c>
      <c r="F14" s="39">
        <v>1458.05</v>
      </c>
      <c r="G14" s="110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70">
        <v>40550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</row>
    <row r="15" spans="2:47" ht="24.95" customHeight="1" x14ac:dyDescent="0.2">
      <c r="D15" s="83" t="s">
        <v>24</v>
      </c>
      <c r="E15" s="110">
        <v>13094.849900000001</v>
      </c>
      <c r="F15" s="39">
        <v>1211.3800000000001</v>
      </c>
      <c r="G15" s="110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49">
        <v>43770</v>
      </c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2:47" ht="24.95" customHeight="1" x14ac:dyDescent="0.2">
      <c r="B16" t="s">
        <v>391</v>
      </c>
      <c r="D16" s="83" t="s">
        <v>340</v>
      </c>
      <c r="E16" s="110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49">
        <v>44593</v>
      </c>
      <c r="P16" s="135"/>
      <c r="Q16" s="135"/>
      <c r="R16" s="135"/>
      <c r="S16" s="135"/>
      <c r="T16" s="172"/>
      <c r="U16" s="172"/>
      <c r="V16" s="172"/>
      <c r="W16" s="172"/>
      <c r="X16" s="172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</row>
    <row r="17" spans="2:47" ht="24.95" customHeight="1" x14ac:dyDescent="0.2">
      <c r="B17" s="51" t="s">
        <v>460</v>
      </c>
      <c r="D17" s="83" t="s">
        <v>522</v>
      </c>
      <c r="E17" s="111">
        <v>11274.56</v>
      </c>
      <c r="F17" s="39">
        <v>917.08</v>
      </c>
      <c r="G17" s="111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49">
        <v>44730</v>
      </c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</row>
    <row r="18" spans="2:47" ht="24.95" customHeight="1" x14ac:dyDescent="0.2">
      <c r="B18" s="51" t="s">
        <v>563</v>
      </c>
      <c r="D18" s="83" t="s">
        <v>522</v>
      </c>
      <c r="E18" s="111">
        <v>11274.56</v>
      </c>
      <c r="F18" s="39">
        <v>917.08</v>
      </c>
      <c r="G18" s="111"/>
      <c r="H18" s="21">
        <f t="shared" ref="H18" si="9">+E18/2</f>
        <v>5637.28</v>
      </c>
      <c r="I18" s="21">
        <f t="shared" ref="I18" si="10">+F18/2</f>
        <v>458.54</v>
      </c>
      <c r="J18" s="21">
        <f t="shared" ref="J18" si="11">+G18/2</f>
        <v>0</v>
      </c>
      <c r="K18" s="21">
        <f t="shared" ref="K18" si="12">+H18*0.115</f>
        <v>648.28719999999998</v>
      </c>
      <c r="L18" s="21"/>
      <c r="M18" s="21">
        <f t="shared" ref="M18" si="13">H18-I18+J18-K18-L18</f>
        <v>4530.4528</v>
      </c>
      <c r="N18" s="11"/>
      <c r="O18" s="149">
        <v>45459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</row>
    <row r="19" spans="2:47" ht="24.95" customHeight="1" x14ac:dyDescent="0.2">
      <c r="B19" s="127"/>
      <c r="D19" s="83" t="s">
        <v>24</v>
      </c>
      <c r="E19" s="110">
        <v>13094.849900000001</v>
      </c>
      <c r="F19" s="39">
        <v>1211.3800000000001</v>
      </c>
      <c r="G19" s="110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ref="K19" si="14">+H19*0.115</f>
        <v>752.95386925000014</v>
      </c>
      <c r="L19" s="21"/>
      <c r="M19" s="21">
        <f t="shared" ref="M19" si="15">H19-I19+J19-K19-L19</f>
        <v>5188.78108075</v>
      </c>
      <c r="N19" s="11"/>
      <c r="O19" s="149">
        <v>45425</v>
      </c>
      <c r="P19" s="173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</row>
    <row r="20" spans="2:47" ht="24.95" customHeight="1" x14ac:dyDescent="0.2">
      <c r="B20" s="10" t="s">
        <v>215</v>
      </c>
      <c r="C20" s="9"/>
      <c r="D20" s="9" t="s">
        <v>34</v>
      </c>
      <c r="E20" s="110">
        <v>13067.6885</v>
      </c>
      <c r="F20" s="39">
        <v>1206.51</v>
      </c>
      <c r="G20" s="110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70">
        <v>40181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</row>
    <row r="21" spans="2:47" ht="24.95" customHeight="1" x14ac:dyDescent="0.2">
      <c r="B21" s="10" t="s">
        <v>505</v>
      </c>
      <c r="C21" s="9"/>
      <c r="D21" s="83" t="s">
        <v>97</v>
      </c>
      <c r="E21" s="110">
        <v>9918.5717000000004</v>
      </c>
      <c r="F21" s="39">
        <v>762.04</v>
      </c>
      <c r="G21" s="110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6">+H21*0.115</f>
        <v>570.31787274999999</v>
      </c>
      <c r="L21" s="21">
        <v>709</v>
      </c>
      <c r="M21" s="21">
        <f t="shared" si="4"/>
        <v>3298.9479772499999</v>
      </c>
      <c r="N21" s="11"/>
      <c r="O21" s="170">
        <v>44991</v>
      </c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</row>
    <row r="22" spans="2:47" ht="24.95" customHeight="1" x14ac:dyDescent="0.2">
      <c r="B22" s="10"/>
      <c r="C22" s="9"/>
      <c r="D22" s="9" t="s">
        <v>96</v>
      </c>
      <c r="E22" s="110">
        <v>14471.3843</v>
      </c>
      <c r="F22" s="39">
        <v>1458.05</v>
      </c>
      <c r="G22" s="110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170">
        <v>40197</v>
      </c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</row>
    <row r="23" spans="2:47" ht="24.95" customHeight="1" x14ac:dyDescent="0.2">
      <c r="D23" s="83" t="s">
        <v>24</v>
      </c>
      <c r="E23" s="110">
        <v>13094.849900000001</v>
      </c>
      <c r="F23" s="39">
        <v>1211.3800000000001</v>
      </c>
      <c r="G23" s="110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49">
        <v>44120</v>
      </c>
      <c r="P23" s="144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</row>
    <row r="24" spans="2:47" ht="24.95" customHeight="1" x14ac:dyDescent="0.2">
      <c r="B24" s="10" t="s">
        <v>554</v>
      </c>
      <c r="D24" s="83" t="s">
        <v>97</v>
      </c>
      <c r="E24" s="110">
        <v>9918.5717000000004</v>
      </c>
      <c r="F24" s="39">
        <v>762.04</v>
      </c>
      <c r="G24" s="110"/>
      <c r="H24" s="21">
        <f t="shared" si="1"/>
        <v>4959.2858500000002</v>
      </c>
      <c r="I24" s="21">
        <f t="shared" si="2"/>
        <v>381.02</v>
      </c>
      <c r="J24" s="21">
        <f t="shared" si="3"/>
        <v>0</v>
      </c>
      <c r="K24" s="21">
        <f t="shared" si="5"/>
        <v>570.31787274999999</v>
      </c>
      <c r="L24" s="21"/>
      <c r="M24" s="21">
        <f t="shared" ref="M24" si="17">H24-I24+J24-K24-L24</f>
        <v>4007.9479772499999</v>
      </c>
      <c r="N24" s="11"/>
      <c r="O24" s="149">
        <v>45383</v>
      </c>
      <c r="P24" s="144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</row>
    <row r="25" spans="2:47" ht="24.95" customHeight="1" x14ac:dyDescent="0.2">
      <c r="B25" s="10" t="s">
        <v>214</v>
      </c>
      <c r="C25" s="9"/>
      <c r="D25" s="9" t="s">
        <v>34</v>
      </c>
      <c r="E25" s="110">
        <v>13094.849900000001</v>
      </c>
      <c r="F25" s="39">
        <v>1211.3800000000001</v>
      </c>
      <c r="G25" s="110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70">
        <v>43374</v>
      </c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</row>
    <row r="26" spans="2:47" ht="24.95" customHeight="1" x14ac:dyDescent="0.2">
      <c r="B26" t="s">
        <v>343</v>
      </c>
      <c r="D26" s="83" t="s">
        <v>246</v>
      </c>
      <c r="E26" s="110">
        <v>8625.3612499999999</v>
      </c>
      <c r="F26" s="39">
        <v>621.34</v>
      </c>
      <c r="G26" s="110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49">
        <v>43571</v>
      </c>
      <c r="P26" s="144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</row>
    <row r="27" spans="2:47" ht="24.95" customHeight="1" x14ac:dyDescent="0.2">
      <c r="B27" s="77" t="s">
        <v>217</v>
      </c>
      <c r="C27" s="77"/>
      <c r="D27" s="77" t="s">
        <v>34</v>
      </c>
      <c r="E27" s="110">
        <v>13094.849900000001</v>
      </c>
      <c r="F27" s="39">
        <v>1211.3800000000001</v>
      </c>
      <c r="G27" s="110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70">
        <v>42604</v>
      </c>
      <c r="P27" s="137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2:47" ht="24.95" customHeight="1" x14ac:dyDescent="0.2">
      <c r="B28" s="2"/>
      <c r="C28" s="3"/>
      <c r="D28" s="28" t="s">
        <v>24</v>
      </c>
      <c r="E28" s="110">
        <v>13094.849900000001</v>
      </c>
      <c r="F28" s="39">
        <v>1211.3800000000001</v>
      </c>
      <c r="G28" s="110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70">
        <v>37622</v>
      </c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</row>
    <row r="29" spans="2:47" ht="24.95" customHeight="1" x14ac:dyDescent="0.2">
      <c r="B29" s="10" t="s">
        <v>216</v>
      </c>
      <c r="C29" s="9"/>
      <c r="D29" s="9" t="s">
        <v>34</v>
      </c>
      <c r="E29" s="110">
        <v>13067.6885</v>
      </c>
      <c r="F29" s="39">
        <v>1206.51</v>
      </c>
      <c r="G29" s="110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70">
        <v>41244</v>
      </c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2:47" ht="24.95" customHeight="1" x14ac:dyDescent="0.2">
      <c r="B30" s="10" t="s">
        <v>556</v>
      </c>
      <c r="C30" s="9"/>
      <c r="D30" s="83" t="s">
        <v>344</v>
      </c>
      <c r="E30" s="110">
        <v>8625.3612499999999</v>
      </c>
      <c r="F30" s="39">
        <v>621.34</v>
      </c>
      <c r="G30" s="110"/>
      <c r="H30" s="21">
        <f t="shared" si="1"/>
        <v>4312.680625</v>
      </c>
      <c r="I30" s="21">
        <f t="shared" si="2"/>
        <v>310.67</v>
      </c>
      <c r="J30" s="21">
        <f t="shared" si="3"/>
        <v>0</v>
      </c>
      <c r="K30" s="21">
        <f t="shared" ref="K30" si="18">+H30*0.115</f>
        <v>495.95827187500004</v>
      </c>
      <c r="L30" s="21"/>
      <c r="M30" s="21">
        <f t="shared" ref="M30" si="19">H30-I30+J30-K30-L30</f>
        <v>3506.0523531250001</v>
      </c>
      <c r="N30" s="11"/>
      <c r="O30" s="170">
        <v>45398</v>
      </c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</row>
    <row r="31" spans="2:47" ht="24.95" customHeight="1" x14ac:dyDescent="0.2">
      <c r="D31" s="83" t="s">
        <v>24</v>
      </c>
      <c r="E31" s="110">
        <v>13094.849900000001</v>
      </c>
      <c r="F31" s="39">
        <v>1211.3800000000001</v>
      </c>
      <c r="G31" s="110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49">
        <v>43845</v>
      </c>
      <c r="P31" s="144"/>
      <c r="Q31" s="135"/>
      <c r="R31" s="135"/>
      <c r="S31" s="135"/>
      <c r="T31" s="150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2:47" ht="24.95" customHeight="1" x14ac:dyDescent="0.2">
      <c r="B32" s="10"/>
      <c r="C32" s="9"/>
      <c r="D32" s="83" t="s">
        <v>24</v>
      </c>
      <c r="E32" s="110">
        <v>13094.849900000001</v>
      </c>
      <c r="F32" s="39">
        <v>1211.3800000000001</v>
      </c>
      <c r="G32" s="110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170">
        <v>44896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</row>
    <row r="33" spans="2:47" ht="24.95" customHeight="1" x14ac:dyDescent="0.2">
      <c r="B33" s="10"/>
      <c r="C33" s="9"/>
      <c r="D33" s="83" t="s">
        <v>24</v>
      </c>
      <c r="E33" s="111">
        <v>13094.849900000001</v>
      </c>
      <c r="F33" s="39">
        <v>1211.3800000000001</v>
      </c>
      <c r="G33" s="111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170">
        <v>45293</v>
      </c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2:47" ht="24.95" customHeight="1" x14ac:dyDescent="0.2">
      <c r="B34" s="10"/>
      <c r="C34" s="9"/>
      <c r="D34" s="83" t="s">
        <v>24</v>
      </c>
      <c r="E34" s="110">
        <v>13094.849900000001</v>
      </c>
      <c r="F34" s="39">
        <v>1211.3800000000001</v>
      </c>
      <c r="G34" s="110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170">
        <v>45215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</row>
    <row r="35" spans="2:47" ht="24.95" customHeight="1" x14ac:dyDescent="0.2">
      <c r="B35" s="10"/>
      <c r="C35" s="9"/>
      <c r="D35" s="83" t="s">
        <v>24</v>
      </c>
      <c r="E35" s="110">
        <v>13094.849900000001</v>
      </c>
      <c r="F35" s="39">
        <v>1211.3800000000001</v>
      </c>
      <c r="G35" s="110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170">
        <v>45061</v>
      </c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2:47" ht="24.95" customHeight="1" x14ac:dyDescent="0.2">
      <c r="B36" s="3"/>
      <c r="C36" s="3"/>
      <c r="D36" s="3" t="s">
        <v>24</v>
      </c>
      <c r="E36" s="110">
        <v>13094.849900000001</v>
      </c>
      <c r="F36" s="39">
        <v>1211.3800000000001</v>
      </c>
      <c r="G36" s="110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70">
        <v>38261</v>
      </c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2:47" ht="24.95" customHeight="1" x14ac:dyDescent="0.2">
      <c r="B37" s="10" t="s">
        <v>369</v>
      </c>
      <c r="C37" s="9"/>
      <c r="D37" s="9" t="s">
        <v>34</v>
      </c>
      <c r="E37" s="110">
        <v>13094.849900000001</v>
      </c>
      <c r="F37" s="39">
        <v>1211.3800000000001</v>
      </c>
      <c r="G37" s="110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70">
        <v>44501</v>
      </c>
      <c r="P37" s="135"/>
      <c r="Q37" s="135"/>
      <c r="R37" s="135"/>
      <c r="S37" s="136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2:47" ht="24.95" customHeight="1" x14ac:dyDescent="0.2">
      <c r="B38" t="s">
        <v>373</v>
      </c>
      <c r="D38" s="83" t="s">
        <v>344</v>
      </c>
      <c r="E38" s="110">
        <v>8625.3612499999999</v>
      </c>
      <c r="F38" s="39">
        <v>621.34</v>
      </c>
      <c r="G38" s="110"/>
      <c r="H38" s="21">
        <f t="shared" si="1"/>
        <v>4312.680625</v>
      </c>
      <c r="I38" s="21">
        <f t="shared" si="2"/>
        <v>310.67</v>
      </c>
      <c r="J38" s="21">
        <f t="shared" si="3"/>
        <v>0</v>
      </c>
      <c r="K38" s="21">
        <f t="shared" si="5"/>
        <v>495.95827187500004</v>
      </c>
      <c r="L38" s="21">
        <v>391</v>
      </c>
      <c r="M38" s="21">
        <f t="shared" si="4"/>
        <v>3115.0523531250001</v>
      </c>
      <c r="N38" s="11"/>
      <c r="O38" s="146">
        <v>44501</v>
      </c>
      <c r="P38" s="137"/>
      <c r="Q38" s="147"/>
      <c r="R38" s="136"/>
      <c r="S38" s="136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2:47" s="51" customFormat="1" ht="24.95" customHeight="1" x14ac:dyDescent="0.2">
      <c r="B39" s="3"/>
      <c r="C39" s="3"/>
      <c r="D39" s="3" t="s">
        <v>24</v>
      </c>
      <c r="E39" s="110">
        <v>13094.849900000001</v>
      </c>
      <c r="F39" s="39">
        <v>1211.3800000000001</v>
      </c>
      <c r="G39" s="110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>
        <v>1129.53</v>
      </c>
      <c r="M39" s="21">
        <f t="shared" si="4"/>
        <v>4059.2510807500003</v>
      </c>
      <c r="N39" s="74"/>
      <c r="O39" s="170">
        <v>40286</v>
      </c>
      <c r="P39" s="135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2:47" s="51" customFormat="1" ht="24.95" customHeight="1" x14ac:dyDescent="0.2">
      <c r="B40" s="3"/>
      <c r="C40" s="3"/>
      <c r="D40" s="3" t="s">
        <v>24</v>
      </c>
      <c r="E40" s="110">
        <v>13094.849900000001</v>
      </c>
      <c r="F40" s="39">
        <v>1211.3800000000001</v>
      </c>
      <c r="G40" s="110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1248</v>
      </c>
      <c r="M40" s="21">
        <f t="shared" si="4"/>
        <v>3940.78108075</v>
      </c>
      <c r="N40" s="74"/>
      <c r="O40" s="170">
        <v>44652</v>
      </c>
      <c r="P40" s="135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2:47" s="51" customFormat="1" ht="24.95" customHeight="1" x14ac:dyDescent="0.2">
      <c r="B41" s="3" t="s">
        <v>474</v>
      </c>
      <c r="C41" s="3"/>
      <c r="D41" s="83" t="s">
        <v>344</v>
      </c>
      <c r="E41" s="110">
        <v>8625.3612499999999</v>
      </c>
      <c r="F41" s="39">
        <v>621.34</v>
      </c>
      <c r="G41" s="110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>
        <v>318</v>
      </c>
      <c r="M41" s="21">
        <f t="shared" si="4"/>
        <v>3188.0523531250001</v>
      </c>
      <c r="N41" s="74"/>
      <c r="O41" s="170">
        <v>44835</v>
      </c>
      <c r="P41" s="135"/>
      <c r="Q41" s="139"/>
      <c r="R41" s="139"/>
      <c r="S41" s="139"/>
      <c r="T41" s="139"/>
      <c r="U41" s="139"/>
      <c r="V41" s="139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2:47" ht="24.95" customHeight="1" x14ac:dyDescent="0.2">
      <c r="B42" s="83"/>
      <c r="D42" s="3" t="s">
        <v>24</v>
      </c>
      <c r="E42" s="110">
        <v>13094.849900000001</v>
      </c>
      <c r="F42" s="39">
        <v>1211.3800000000001</v>
      </c>
      <c r="G42" s="110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ref="K42" si="27">+H42*0.115</f>
        <v>752.95386925000014</v>
      </c>
      <c r="L42" s="21"/>
      <c r="M42" s="21">
        <f t="shared" ref="M42" si="28">H42-I42+J42-K42-L42</f>
        <v>5188.78108075</v>
      </c>
      <c r="N42" s="11"/>
      <c r="O42" s="149">
        <v>44866</v>
      </c>
      <c r="P42" s="173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2:47" s="51" customFormat="1" ht="24.95" customHeight="1" x14ac:dyDescent="0.2">
      <c r="B43" s="3"/>
      <c r="C43" s="3"/>
      <c r="D43" s="3" t="s">
        <v>24</v>
      </c>
      <c r="E43" s="110">
        <v>13094.849900000001</v>
      </c>
      <c r="F43" s="39">
        <v>1211.3800000000001</v>
      </c>
      <c r="G43" s="110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4"/>
      <c r="O43" s="170">
        <v>44806</v>
      </c>
      <c r="P43" s="135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2:47" s="51" customFormat="1" ht="24.95" customHeight="1" x14ac:dyDescent="0.2">
      <c r="B44" s="3"/>
      <c r="C44" s="3"/>
      <c r="D44" s="3" t="s">
        <v>24</v>
      </c>
      <c r="E44" s="110">
        <v>13094.849900000001</v>
      </c>
      <c r="F44" s="39">
        <v>1211.3800000000001</v>
      </c>
      <c r="G44" s="110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29">+H44*0.115</f>
        <v>752.95386925000014</v>
      </c>
      <c r="L44" s="21"/>
      <c r="M44" s="21">
        <f t="shared" ref="M44" si="30">H44-I44+J44-K44-L44</f>
        <v>5188.78108075</v>
      </c>
      <c r="N44" s="74"/>
      <c r="O44" s="170">
        <v>45397</v>
      </c>
      <c r="P44" s="135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2:47" s="120" customFormat="1" ht="29.25" customHeight="1" x14ac:dyDescent="0.2">
      <c r="B45" s="51" t="s">
        <v>499</v>
      </c>
      <c r="C45" s="75"/>
      <c r="D45" s="28" t="s">
        <v>527</v>
      </c>
      <c r="E45" s="111">
        <v>13094.849900000001</v>
      </c>
      <c r="F45" s="39">
        <v>1211.3800000000001</v>
      </c>
      <c r="G45" s="111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61">
        <f t="shared" ref="M45" si="31">+H45-I45+J45-K45-L45</f>
        <v>5188.78108075</v>
      </c>
      <c r="N45" s="74"/>
      <c r="O45" s="144">
        <v>45031</v>
      </c>
      <c r="P45" s="137"/>
      <c r="Q45" s="147"/>
      <c r="R45" s="137"/>
      <c r="S45" s="143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2:47" ht="24.95" customHeight="1" x14ac:dyDescent="0.2">
      <c r="B46" s="3"/>
      <c r="C46" s="3"/>
      <c r="D46" s="28" t="s">
        <v>24</v>
      </c>
      <c r="E46" s="110">
        <v>13094.849900000001</v>
      </c>
      <c r="F46" s="39">
        <v>1211.3800000000001</v>
      </c>
      <c r="G46" s="110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21">
        <f t="shared" si="4"/>
        <v>5188.78108075</v>
      </c>
      <c r="N46" s="11"/>
      <c r="O46" s="170">
        <v>38517</v>
      </c>
      <c r="P46" s="135"/>
      <c r="Q46" s="174"/>
      <c r="R46" s="174"/>
      <c r="S46" s="135"/>
      <c r="T46" s="143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2:47" ht="24.95" customHeight="1" x14ac:dyDescent="0.2">
      <c r="B47" s="3"/>
      <c r="C47" s="3"/>
      <c r="D47" s="28" t="s">
        <v>24</v>
      </c>
      <c r="E47" s="110">
        <v>13094.849900000001</v>
      </c>
      <c r="F47" s="39">
        <v>1211.3800000000001</v>
      </c>
      <c r="G47" s="110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170">
        <v>41508</v>
      </c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2:47" ht="24.95" customHeight="1" x14ac:dyDescent="0.2">
      <c r="B48" s="3" t="s">
        <v>342</v>
      </c>
      <c r="D48" s="28" t="s">
        <v>97</v>
      </c>
      <c r="E48" s="110">
        <v>9918.5717000000004</v>
      </c>
      <c r="F48" s="39">
        <v>762.04</v>
      </c>
      <c r="G48" s="110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57">
        <v>44470</v>
      </c>
      <c r="P48" s="135"/>
      <c r="Q48" s="135"/>
      <c r="R48" s="135"/>
      <c r="S48" s="135"/>
      <c r="T48" s="143"/>
      <c r="U48" s="136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2:47" ht="24.95" customHeight="1" x14ac:dyDescent="0.2">
      <c r="B49" s="10" t="s">
        <v>219</v>
      </c>
      <c r="C49" s="48"/>
      <c r="D49" s="54" t="s">
        <v>97</v>
      </c>
      <c r="E49" s="110">
        <v>9918.5717000000004</v>
      </c>
      <c r="F49" s="39">
        <v>762.04</v>
      </c>
      <c r="G49" s="110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170">
        <v>42278</v>
      </c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2:47" ht="24.95" customHeight="1" x14ac:dyDescent="0.2">
      <c r="B50" t="s">
        <v>346</v>
      </c>
      <c r="D50" s="83" t="s">
        <v>347</v>
      </c>
      <c r="E50" s="110">
        <v>13762.45615</v>
      </c>
      <c r="F50" s="39">
        <v>1331.01</v>
      </c>
      <c r="G50" s="110"/>
      <c r="H50" s="21">
        <f t="shared" si="1"/>
        <v>6881.228075</v>
      </c>
      <c r="I50" s="21">
        <f t="shared" si="2"/>
        <v>665.505</v>
      </c>
      <c r="J50" s="21">
        <f t="shared" si="3"/>
        <v>0</v>
      </c>
      <c r="K50" s="21">
        <f t="shared" si="5"/>
        <v>791.34122862499999</v>
      </c>
      <c r="L50" s="21"/>
      <c r="M50" s="21">
        <f t="shared" si="4"/>
        <v>5424.3818463749994</v>
      </c>
      <c r="N50" s="11"/>
      <c r="O50" s="157">
        <v>44470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2:47" ht="24.95" customHeight="1" x14ac:dyDescent="0.2">
      <c r="B51" s="10"/>
      <c r="C51" s="9"/>
      <c r="D51" s="9" t="s">
        <v>24</v>
      </c>
      <c r="E51" s="110">
        <v>13094.849900000001</v>
      </c>
      <c r="F51" s="39">
        <v>1211.3800000000001</v>
      </c>
      <c r="G51" s="110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>
        <v>936</v>
      </c>
      <c r="M51" s="21">
        <f t="shared" si="4"/>
        <v>4252.78108075</v>
      </c>
      <c r="N51" s="11"/>
      <c r="O51" s="170">
        <v>43695</v>
      </c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2:47" ht="24.95" customHeight="1" x14ac:dyDescent="0.2">
      <c r="B52" s="3"/>
      <c r="C52" s="3"/>
      <c r="D52" s="28" t="s">
        <v>24</v>
      </c>
      <c r="E52" s="110">
        <v>13094.849900000001</v>
      </c>
      <c r="F52" s="39">
        <v>1211.3800000000001</v>
      </c>
      <c r="G52" s="110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>
        <v>1248</v>
      </c>
      <c r="M52" s="21">
        <f t="shared" si="4"/>
        <v>3940.78108075</v>
      </c>
      <c r="N52" s="11"/>
      <c r="O52" s="170">
        <v>41647</v>
      </c>
      <c r="P52" s="135"/>
      <c r="Q52" s="135"/>
      <c r="R52" s="135"/>
      <c r="S52" s="135"/>
      <c r="T52" s="135"/>
    </row>
    <row r="53" spans="2:47" ht="24.95" customHeight="1" x14ac:dyDescent="0.2">
      <c r="B53" s="3" t="s">
        <v>501</v>
      </c>
      <c r="C53" s="3"/>
      <c r="D53" s="28" t="s">
        <v>97</v>
      </c>
      <c r="E53" s="110">
        <v>9918.5717000000004</v>
      </c>
      <c r="F53" s="39">
        <v>762.04</v>
      </c>
      <c r="G53" s="110"/>
      <c r="H53" s="21">
        <f t="shared" si="1"/>
        <v>4959.2858500000002</v>
      </c>
      <c r="I53" s="21">
        <f t="shared" si="2"/>
        <v>381.02</v>
      </c>
      <c r="J53" s="21">
        <f t="shared" si="3"/>
        <v>0</v>
      </c>
      <c r="K53" s="21">
        <f t="shared" ref="K53" si="32">+H53*0.115</f>
        <v>570.31787274999999</v>
      </c>
      <c r="L53" s="21"/>
      <c r="M53" s="21">
        <f t="shared" ref="M53" si="33">H53-I53+J53-K53-L53</f>
        <v>4007.9479772499999</v>
      </c>
      <c r="N53" s="11"/>
      <c r="O53" s="170">
        <v>45047</v>
      </c>
      <c r="P53" s="135"/>
      <c r="Q53" s="135"/>
      <c r="R53" s="135"/>
      <c r="S53" s="135"/>
      <c r="T53" s="135"/>
    </row>
    <row r="54" spans="2:47" ht="24.95" customHeight="1" x14ac:dyDescent="0.2">
      <c r="D54" s="83" t="s">
        <v>24</v>
      </c>
      <c r="E54" s="110">
        <v>13094.849900000001</v>
      </c>
      <c r="F54" s="39">
        <v>1211.3800000000001</v>
      </c>
      <c r="G54" s="110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>
        <v>1248</v>
      </c>
      <c r="M54" s="21">
        <f t="shared" si="4"/>
        <v>3940.78108075</v>
      </c>
      <c r="N54" s="11"/>
      <c r="O54" s="149">
        <v>44089</v>
      </c>
      <c r="P54" s="144"/>
      <c r="Q54" s="150"/>
      <c r="R54" s="150"/>
      <c r="S54" s="135"/>
      <c r="T54" s="135"/>
    </row>
    <row r="55" spans="2:47" x14ac:dyDescent="0.2">
      <c r="D55" s="25" t="s">
        <v>9</v>
      </c>
      <c r="E55" s="60">
        <f t="shared" ref="E55:M55" si="34">SUM(E7:E54)</f>
        <v>635417.6352500004</v>
      </c>
      <c r="F55" s="60">
        <f t="shared" si="34"/>
        <v>62272.079999999958</v>
      </c>
      <c r="G55" s="60">
        <f t="shared" si="34"/>
        <v>0</v>
      </c>
      <c r="H55" s="60">
        <f t="shared" si="34"/>
        <v>317708.8176250002</v>
      </c>
      <c r="I55" s="60">
        <f t="shared" si="34"/>
        <v>31136.039999999979</v>
      </c>
      <c r="J55" s="60">
        <f t="shared" si="34"/>
        <v>0</v>
      </c>
      <c r="K55" s="60">
        <f t="shared" si="34"/>
        <v>34040.564957624985</v>
      </c>
      <c r="L55" s="60">
        <f t="shared" si="34"/>
        <v>23141.53</v>
      </c>
      <c r="M55" s="60">
        <f t="shared" si="34"/>
        <v>229390.68266737499</v>
      </c>
    </row>
    <row r="56" spans="2:47" x14ac:dyDescent="0.2">
      <c r="D56" s="25"/>
      <c r="E56" s="41"/>
      <c r="F56" s="41"/>
      <c r="G56" s="41"/>
      <c r="H56" s="26"/>
      <c r="I56" s="26"/>
      <c r="J56" s="26"/>
      <c r="K56" s="26"/>
      <c r="L56" s="26"/>
      <c r="M56" s="26"/>
    </row>
    <row r="57" spans="2:47" x14ac:dyDescent="0.2">
      <c r="E57" s="39"/>
      <c r="F57" s="39"/>
      <c r="G57" s="39"/>
    </row>
  </sheetData>
  <autoFilter ref="B1:O57"/>
  <sortState ref="A9:N51">
    <sortCondition ref="B9:B51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X70"/>
  <sheetViews>
    <sheetView topLeftCell="B24" zoomScale="90" zoomScaleNormal="90" workbookViewId="0">
      <selection activeCell="C27" sqref="C27"/>
    </sheetView>
  </sheetViews>
  <sheetFormatPr baseColWidth="10" defaultRowHeight="12.75" x14ac:dyDescent="0.2"/>
  <cols>
    <col min="1" max="1" width="1.140625" style="55" customWidth="1"/>
    <col min="2" max="2" width="14.85546875" style="55" customWidth="1"/>
    <col min="3" max="3" width="28" style="55" customWidth="1"/>
    <col min="4" max="4" width="6.140625" style="55" customWidth="1"/>
    <col min="5" max="5" width="20.5703125" style="55" customWidth="1"/>
    <col min="6" max="6" width="13" style="55" customWidth="1"/>
    <col min="7" max="7" width="6.42578125" style="55" customWidth="1"/>
    <col min="8" max="8" width="6.28515625" style="55" customWidth="1"/>
    <col min="9" max="9" width="6.140625" style="55" customWidth="1"/>
    <col min="10" max="10" width="12.28515625" style="55" bestFit="1" customWidth="1"/>
    <col min="11" max="11" width="25.140625" style="55" customWidth="1"/>
    <col min="12" max="12" width="20.7109375" style="55" bestFit="1" customWidth="1"/>
    <col min="13" max="16384" width="11.42578125" style="55"/>
  </cols>
  <sheetData>
    <row r="1" spans="1:16" ht="18" x14ac:dyDescent="0.25">
      <c r="A1" s="55" t="s">
        <v>28</v>
      </c>
      <c r="F1" s="12" t="s">
        <v>0</v>
      </c>
      <c r="G1" s="65"/>
      <c r="H1" s="65"/>
      <c r="I1" s="65"/>
      <c r="J1" s="65"/>
      <c r="K1" s="66" t="s">
        <v>1</v>
      </c>
    </row>
    <row r="2" spans="1:16" ht="15" x14ac:dyDescent="0.25">
      <c r="F2" s="15" t="s">
        <v>35</v>
      </c>
      <c r="G2" s="65"/>
      <c r="H2" s="65"/>
      <c r="I2" s="65"/>
      <c r="J2" s="65"/>
      <c r="K2" s="16" t="str">
        <f>PRESIDENCIA!N2</f>
        <v>31 DE JULIO DE 2024</v>
      </c>
    </row>
    <row r="3" spans="1:16" x14ac:dyDescent="0.2">
      <c r="B3" s="3"/>
      <c r="C3" s="2"/>
      <c r="F3" s="16" t="str">
        <f>PRESIDENCIA!E3</f>
        <v>SEGUNDA QUINCENA DE JULIO DE 2024</v>
      </c>
      <c r="G3" s="65"/>
      <c r="H3" s="65"/>
      <c r="I3" s="65"/>
      <c r="J3" s="65"/>
    </row>
    <row r="4" spans="1:16" x14ac:dyDescent="0.2">
      <c r="B4" s="67" t="s">
        <v>2</v>
      </c>
      <c r="C4" s="67" t="s">
        <v>3</v>
      </c>
      <c r="D4" s="67"/>
      <c r="E4" s="67" t="s">
        <v>11</v>
      </c>
      <c r="F4" s="20" t="s">
        <v>4</v>
      </c>
      <c r="G4" s="20" t="s">
        <v>29</v>
      </c>
      <c r="H4" s="45" t="s">
        <v>33</v>
      </c>
      <c r="I4" s="20" t="s">
        <v>25</v>
      </c>
      <c r="J4" s="20" t="s">
        <v>5</v>
      </c>
      <c r="K4" s="67" t="s">
        <v>6</v>
      </c>
      <c r="L4" s="37" t="s">
        <v>365</v>
      </c>
    </row>
    <row r="5" spans="1:16" customFormat="1" ht="20.25" customHeight="1" x14ac:dyDescent="0.2">
      <c r="B5" s="9" t="s">
        <v>419</v>
      </c>
      <c r="C5" s="10" t="s">
        <v>170</v>
      </c>
      <c r="D5" s="48"/>
      <c r="E5" s="78" t="s">
        <v>21</v>
      </c>
      <c r="F5" s="7">
        <f>8374.32*0.63/2</f>
        <v>2637.9108000000001</v>
      </c>
      <c r="G5" s="7"/>
      <c r="H5" s="7"/>
      <c r="I5" s="2"/>
      <c r="J5" s="91">
        <f>+F5</f>
        <v>2637.9108000000001</v>
      </c>
      <c r="K5" s="11"/>
      <c r="L5" s="94">
        <v>36913</v>
      </c>
      <c r="N5">
        <f>+J5*2</f>
        <v>5275.8216000000002</v>
      </c>
      <c r="O5" s="13"/>
    </row>
    <row r="6" spans="1:16" ht="23.25" customHeight="1" x14ac:dyDescent="0.2">
      <c r="B6" s="9" t="s">
        <v>420</v>
      </c>
      <c r="C6" s="10" t="s">
        <v>162</v>
      </c>
      <c r="D6" s="66"/>
      <c r="E6" s="54" t="s">
        <v>18</v>
      </c>
      <c r="F6" s="61">
        <v>3036.48</v>
      </c>
      <c r="G6" s="71"/>
      <c r="H6" s="72"/>
      <c r="I6" s="71"/>
      <c r="J6" s="7">
        <f t="shared" ref="J6:J22" si="0">F6-G6+H6-I6</f>
        <v>3036.48</v>
      </c>
      <c r="K6" s="55" t="s">
        <v>31</v>
      </c>
      <c r="L6" s="94">
        <v>34274</v>
      </c>
      <c r="N6">
        <f t="shared" ref="N6:N43" si="1">+J6*2</f>
        <v>6072.96</v>
      </c>
    </row>
    <row r="7" spans="1:16" ht="24.75" customHeight="1" x14ac:dyDescent="0.2">
      <c r="B7" s="3" t="s">
        <v>421</v>
      </c>
      <c r="C7" s="2" t="s">
        <v>189</v>
      </c>
      <c r="D7" s="5"/>
      <c r="E7" s="28" t="s">
        <v>80</v>
      </c>
      <c r="F7" s="4">
        <v>3048.99</v>
      </c>
      <c r="G7" s="7"/>
      <c r="H7" s="7"/>
      <c r="I7" s="7"/>
      <c r="J7" s="7">
        <f t="shared" si="0"/>
        <v>3048.99</v>
      </c>
      <c r="K7" s="55" t="s">
        <v>31</v>
      </c>
      <c r="L7" s="94">
        <v>36192</v>
      </c>
      <c r="M7" s="121"/>
      <c r="N7">
        <f t="shared" si="1"/>
        <v>6097.98</v>
      </c>
    </row>
    <row r="8" spans="1:16" customFormat="1" ht="24.95" customHeight="1" x14ac:dyDescent="0.2">
      <c r="B8" s="3" t="s">
        <v>422</v>
      </c>
      <c r="C8" s="2" t="s">
        <v>186</v>
      </c>
      <c r="D8" s="5"/>
      <c r="E8" s="28" t="s">
        <v>236</v>
      </c>
      <c r="F8" s="7">
        <f>12826.8*0.69/2</f>
        <v>4425.2459999999992</v>
      </c>
      <c r="G8" s="7"/>
      <c r="H8" s="7"/>
      <c r="I8" s="7"/>
      <c r="J8" s="7">
        <f t="shared" ref="J8:J10" si="2">F8-G8+H8-I8</f>
        <v>4425.2459999999992</v>
      </c>
      <c r="K8" s="55" t="s">
        <v>31</v>
      </c>
      <c r="L8" s="94">
        <v>36161</v>
      </c>
      <c r="M8" s="47"/>
      <c r="N8">
        <f t="shared" si="1"/>
        <v>8850.4919999999984</v>
      </c>
      <c r="O8" s="69"/>
      <c r="P8" s="60"/>
    </row>
    <row r="9" spans="1:16" customFormat="1" ht="24.95" customHeight="1" x14ac:dyDescent="0.2">
      <c r="B9" s="70" t="s">
        <v>423</v>
      </c>
      <c r="C9" s="2" t="s">
        <v>156</v>
      </c>
      <c r="D9" s="5"/>
      <c r="E9" s="78" t="s">
        <v>241</v>
      </c>
      <c r="F9" s="7">
        <f>9190.56*0.66/2</f>
        <v>3032.8847999999998</v>
      </c>
      <c r="G9" s="7"/>
      <c r="H9" s="7"/>
      <c r="I9" s="7"/>
      <c r="J9" s="7">
        <f t="shared" ref="J9" si="3">F9-G9+H9-I9</f>
        <v>3032.8847999999998</v>
      </c>
      <c r="K9" s="55" t="s">
        <v>31</v>
      </c>
      <c r="L9" s="94"/>
      <c r="M9" s="121">
        <f>+F9/15*4.16666666666667*0.5</f>
        <v>421.23400000000026</v>
      </c>
      <c r="N9">
        <f t="shared" si="1"/>
        <v>6065.7695999999996</v>
      </c>
      <c r="O9" s="69"/>
      <c r="P9" s="60"/>
    </row>
    <row r="10" spans="1:16" customFormat="1" ht="24.95" customHeight="1" x14ac:dyDescent="0.2">
      <c r="B10" s="2" t="s">
        <v>424</v>
      </c>
      <c r="C10" s="2" t="s">
        <v>187</v>
      </c>
      <c r="D10" s="5"/>
      <c r="E10" s="54" t="s">
        <v>79</v>
      </c>
      <c r="F10" s="7">
        <f>10032.4*0.72/2</f>
        <v>3611.6639999999998</v>
      </c>
      <c r="G10" s="7"/>
      <c r="H10" s="7"/>
      <c r="I10" s="7"/>
      <c r="J10" s="7">
        <f t="shared" si="2"/>
        <v>3611.6639999999998</v>
      </c>
      <c r="K10" s="55" t="s">
        <v>31</v>
      </c>
      <c r="L10" s="94">
        <v>35521</v>
      </c>
      <c r="M10" s="47"/>
      <c r="N10">
        <f t="shared" si="1"/>
        <v>7223.3279999999995</v>
      </c>
      <c r="O10" s="69"/>
      <c r="P10" s="122"/>
    </row>
    <row r="11" spans="1:16" customFormat="1" ht="18.75" customHeight="1" x14ac:dyDescent="0.2">
      <c r="B11" s="100" t="s">
        <v>425</v>
      </c>
      <c r="C11" s="2" t="s">
        <v>168</v>
      </c>
      <c r="D11" s="5"/>
      <c r="E11" s="28" t="s">
        <v>20</v>
      </c>
      <c r="F11" s="7">
        <f>11241.24*0.75/2</f>
        <v>4215.4650000000001</v>
      </c>
      <c r="G11" s="7"/>
      <c r="H11" s="7"/>
      <c r="I11" s="7"/>
      <c r="J11" s="91">
        <f>+F11</f>
        <v>4215.4650000000001</v>
      </c>
      <c r="K11" s="11"/>
      <c r="L11" s="94">
        <v>35431</v>
      </c>
      <c r="M11">
        <f>+F11/30.42</f>
        <v>138.57544378698225</v>
      </c>
      <c r="N11">
        <f t="shared" si="1"/>
        <v>8430.93</v>
      </c>
      <c r="O11" s="93"/>
    </row>
    <row r="12" spans="1:16" customFormat="1" ht="24.95" customHeight="1" x14ac:dyDescent="0.2">
      <c r="B12" s="101" t="s">
        <v>418</v>
      </c>
      <c r="C12" s="10" t="s">
        <v>167</v>
      </c>
      <c r="D12" s="48"/>
      <c r="E12" s="54" t="s">
        <v>288</v>
      </c>
      <c r="F12" s="73">
        <f>2697.3188*0.72/2</f>
        <v>971.03476799999999</v>
      </c>
      <c r="G12" s="7"/>
      <c r="H12" s="21"/>
      <c r="I12" s="21"/>
      <c r="J12" s="91">
        <f>+F12</f>
        <v>971.03476799999999</v>
      </c>
      <c r="K12" s="11"/>
      <c r="L12" s="94">
        <v>36130</v>
      </c>
      <c r="M12" s="24"/>
      <c r="N12">
        <f t="shared" si="1"/>
        <v>1942.069536</v>
      </c>
      <c r="O12" s="24"/>
    </row>
    <row r="13" spans="1:16" ht="24.75" customHeight="1" x14ac:dyDescent="0.2">
      <c r="B13" s="64" t="s">
        <v>426</v>
      </c>
      <c r="C13" s="10" t="s">
        <v>137</v>
      </c>
      <c r="D13" s="48"/>
      <c r="E13" s="54" t="s">
        <v>64</v>
      </c>
      <c r="F13" s="7">
        <v>4117.78</v>
      </c>
      <c r="G13" s="27"/>
      <c r="H13" s="27"/>
      <c r="I13" s="7"/>
      <c r="J13" s="7">
        <f t="shared" si="0"/>
        <v>4117.78</v>
      </c>
      <c r="K13" s="55" t="s">
        <v>31</v>
      </c>
      <c r="L13" s="94">
        <v>33604</v>
      </c>
      <c r="M13" s="121"/>
      <c r="N13">
        <f t="shared" si="1"/>
        <v>8235.56</v>
      </c>
    </row>
    <row r="14" spans="1:16" ht="24.75" customHeight="1" x14ac:dyDescent="0.2">
      <c r="B14" s="64" t="s">
        <v>427</v>
      </c>
      <c r="C14" s="2" t="s">
        <v>149</v>
      </c>
      <c r="D14" s="5"/>
      <c r="E14" s="28" t="s">
        <v>69</v>
      </c>
      <c r="F14" s="7">
        <f>11559.6/2</f>
        <v>5779.8</v>
      </c>
      <c r="G14" s="7"/>
      <c r="H14" s="7"/>
      <c r="I14" s="7"/>
      <c r="J14" s="7">
        <f t="shared" si="0"/>
        <v>5779.8</v>
      </c>
      <c r="K14" s="55" t="s">
        <v>31</v>
      </c>
      <c r="L14" s="94">
        <v>32509</v>
      </c>
      <c r="M14" s="121"/>
      <c r="N14">
        <f t="shared" si="1"/>
        <v>11559.6</v>
      </c>
    </row>
    <row r="15" spans="1:16" ht="24.75" customHeight="1" x14ac:dyDescent="0.2">
      <c r="B15" s="64" t="s">
        <v>428</v>
      </c>
      <c r="C15" s="2" t="s">
        <v>154</v>
      </c>
      <c r="D15" s="2"/>
      <c r="E15" s="54" t="s">
        <v>241</v>
      </c>
      <c r="F15" s="7">
        <v>1894.27</v>
      </c>
      <c r="G15" s="7"/>
      <c r="H15" s="7"/>
      <c r="I15" s="7"/>
      <c r="J15" s="7">
        <f t="shared" ref="J15:J18" si="4">F15-G15+H15-I15</f>
        <v>1894.27</v>
      </c>
      <c r="K15" s="55" t="s">
        <v>31</v>
      </c>
      <c r="L15" s="94">
        <v>35796</v>
      </c>
      <c r="M15" s="121"/>
      <c r="N15">
        <f t="shared" si="1"/>
        <v>3788.54</v>
      </c>
    </row>
    <row r="16" spans="1:16" ht="24.75" customHeight="1" x14ac:dyDescent="0.2">
      <c r="B16" s="63" t="s">
        <v>429</v>
      </c>
      <c r="C16" s="2" t="s">
        <v>118</v>
      </c>
      <c r="D16" s="5"/>
      <c r="E16" t="s">
        <v>52</v>
      </c>
      <c r="F16" s="7">
        <f>6875.93*0.63/2</f>
        <v>2165.91795</v>
      </c>
      <c r="G16" s="7"/>
      <c r="H16" s="7"/>
      <c r="I16" s="7"/>
      <c r="J16" s="7">
        <f t="shared" si="4"/>
        <v>2165.91795</v>
      </c>
      <c r="K16" s="55" t="s">
        <v>31</v>
      </c>
      <c r="L16" s="94">
        <v>36831</v>
      </c>
      <c r="M16" s="121"/>
      <c r="N16">
        <f t="shared" si="1"/>
        <v>4331.8359</v>
      </c>
    </row>
    <row r="17" spans="1:24" ht="24.75" customHeight="1" x14ac:dyDescent="0.2">
      <c r="B17" s="9" t="s">
        <v>430</v>
      </c>
      <c r="C17" s="10" t="s">
        <v>163</v>
      </c>
      <c r="D17" s="48"/>
      <c r="E17" s="54" t="s">
        <v>22</v>
      </c>
      <c r="F17" s="7">
        <v>1745.8</v>
      </c>
      <c r="G17" s="7"/>
      <c r="H17" s="7"/>
      <c r="I17" s="7"/>
      <c r="J17" s="7">
        <f t="shared" si="4"/>
        <v>1745.8</v>
      </c>
      <c r="K17" s="55" t="s">
        <v>31</v>
      </c>
      <c r="L17" s="94">
        <v>35470</v>
      </c>
      <c r="M17" s="121"/>
      <c r="N17">
        <f t="shared" si="1"/>
        <v>3491.6</v>
      </c>
    </row>
    <row r="18" spans="1:24" customFormat="1" ht="24.95" customHeight="1" x14ac:dyDescent="0.2">
      <c r="B18" s="3" t="s">
        <v>431</v>
      </c>
      <c r="C18" s="2" t="s">
        <v>183</v>
      </c>
      <c r="D18" s="5"/>
      <c r="E18" s="54" t="s">
        <v>76</v>
      </c>
      <c r="F18" s="7">
        <f>19626.6*0.6/2</f>
        <v>5887.98</v>
      </c>
      <c r="G18" s="27"/>
      <c r="H18" s="7"/>
      <c r="I18" s="7">
        <f t="shared" ref="I18" si="5">+G18/2</f>
        <v>0</v>
      </c>
      <c r="J18" s="7">
        <f t="shared" si="4"/>
        <v>5887.98</v>
      </c>
      <c r="K18" s="55" t="s">
        <v>31</v>
      </c>
      <c r="L18" s="94">
        <v>37018</v>
      </c>
      <c r="M18" s="47"/>
      <c r="N18">
        <f t="shared" si="1"/>
        <v>11775.96</v>
      </c>
      <c r="O18" s="69"/>
      <c r="P18" s="58"/>
    </row>
    <row r="19" spans="1:24" ht="24.75" customHeight="1" x14ac:dyDescent="0.2">
      <c r="B19" s="70" t="s">
        <v>432</v>
      </c>
      <c r="C19" s="10" t="s">
        <v>138</v>
      </c>
      <c r="D19" s="48"/>
      <c r="E19" s="54" t="s">
        <v>65</v>
      </c>
      <c r="F19" s="7">
        <v>4209.68</v>
      </c>
      <c r="G19" s="7"/>
      <c r="H19" s="7"/>
      <c r="I19" s="7"/>
      <c r="J19" s="7">
        <f t="shared" si="0"/>
        <v>4209.68</v>
      </c>
      <c r="K19" s="55" t="s">
        <v>31</v>
      </c>
      <c r="L19" s="94">
        <v>36192</v>
      </c>
      <c r="M19" s="121"/>
      <c r="N19">
        <f t="shared" si="1"/>
        <v>8419.36</v>
      </c>
    </row>
    <row r="20" spans="1:24" customFormat="1" ht="24.95" customHeight="1" x14ac:dyDescent="0.2">
      <c r="B20" s="100" t="s">
        <v>394</v>
      </c>
      <c r="C20" s="10" t="s">
        <v>164</v>
      </c>
      <c r="D20" s="48"/>
      <c r="E20" s="54" t="s">
        <v>23</v>
      </c>
      <c r="F20" s="73">
        <f>9918.5717*0.6/2</f>
        <v>2975.5715100000002</v>
      </c>
      <c r="G20" s="51"/>
      <c r="H20" s="51"/>
      <c r="I20" s="7"/>
      <c r="J20" s="7">
        <f t="shared" ref="J20" si="6">F20-G20+H20-I20</f>
        <v>2975.5715100000002</v>
      </c>
      <c r="K20" s="55" t="s">
        <v>31</v>
      </c>
      <c r="L20" s="21"/>
      <c r="M20" s="21"/>
      <c r="N20">
        <f t="shared" si="1"/>
        <v>5951.1430200000004</v>
      </c>
      <c r="O20" s="47"/>
      <c r="P20" s="123"/>
      <c r="Q20" s="99"/>
      <c r="R20" s="97"/>
      <c r="S20" s="97"/>
      <c r="T20" s="97"/>
      <c r="U20" s="107"/>
      <c r="V20" s="108"/>
      <c r="W20" s="109"/>
      <c r="X20" s="108"/>
    </row>
    <row r="21" spans="1:24" ht="24.75" customHeight="1" x14ac:dyDescent="0.2">
      <c r="B21" s="3" t="s">
        <v>433</v>
      </c>
      <c r="C21" s="2" t="s">
        <v>222</v>
      </c>
      <c r="D21" s="5"/>
      <c r="E21" s="3" t="s">
        <v>13</v>
      </c>
      <c r="F21" s="7">
        <v>2668.84</v>
      </c>
      <c r="G21" s="27"/>
      <c r="H21" s="27"/>
      <c r="I21" s="7"/>
      <c r="J21" s="7">
        <f t="shared" si="0"/>
        <v>2668.84</v>
      </c>
      <c r="K21" s="55" t="s">
        <v>31</v>
      </c>
      <c r="L21" s="94">
        <v>35217</v>
      </c>
      <c r="M21" s="121"/>
      <c r="N21">
        <f t="shared" si="1"/>
        <v>5337.68</v>
      </c>
    </row>
    <row r="22" spans="1:24" customFormat="1" ht="24.95" customHeight="1" x14ac:dyDescent="0.2">
      <c r="B22" s="3" t="s">
        <v>434</v>
      </c>
      <c r="C22" s="2" t="s">
        <v>198</v>
      </c>
      <c r="D22" s="5"/>
      <c r="E22" s="28" t="s">
        <v>89</v>
      </c>
      <c r="F22" s="7">
        <v>3278.55</v>
      </c>
      <c r="G22" s="7"/>
      <c r="H22" s="7"/>
      <c r="I22" s="7"/>
      <c r="J22" s="7">
        <f t="shared" si="0"/>
        <v>3278.55</v>
      </c>
      <c r="K22" s="55" t="s">
        <v>31</v>
      </c>
      <c r="L22" s="94">
        <v>36581</v>
      </c>
      <c r="M22" s="60"/>
      <c r="N22">
        <f t="shared" si="1"/>
        <v>6557.1</v>
      </c>
    </row>
    <row r="23" spans="1:24" ht="24.75" customHeight="1" x14ac:dyDescent="0.2">
      <c r="A23" s="51"/>
      <c r="B23" s="3" t="s">
        <v>435</v>
      </c>
      <c r="C23" s="2" t="s">
        <v>184</v>
      </c>
      <c r="D23" s="5"/>
      <c r="E23" s="54" t="s">
        <v>77</v>
      </c>
      <c r="F23" s="7">
        <v>4121.25</v>
      </c>
      <c r="G23" s="7"/>
      <c r="H23" s="7"/>
      <c r="I23" s="7"/>
      <c r="J23" s="7">
        <f>+F23</f>
        <v>4121.25</v>
      </c>
      <c r="K23" s="55" t="s">
        <v>31</v>
      </c>
      <c r="L23" s="94">
        <v>35796</v>
      </c>
      <c r="M23" s="60"/>
      <c r="N23">
        <f t="shared" si="1"/>
        <v>8242.5</v>
      </c>
      <c r="O23" s="51"/>
      <c r="P23" s="51"/>
      <c r="Q23" s="51"/>
      <c r="R23" s="51"/>
      <c r="S23" s="51"/>
    </row>
    <row r="24" spans="1:24" customFormat="1" ht="21.95" customHeight="1" x14ac:dyDescent="0.2">
      <c r="B24" s="64" t="s">
        <v>436</v>
      </c>
      <c r="C24" s="10" t="s">
        <v>139</v>
      </c>
      <c r="D24" s="48"/>
      <c r="E24" s="54" t="s">
        <v>65</v>
      </c>
      <c r="F24" s="7">
        <f>9167*0.9/2</f>
        <v>4125.1500000000005</v>
      </c>
      <c r="G24" s="27"/>
      <c r="H24" s="27"/>
      <c r="I24" s="7"/>
      <c r="J24" s="7">
        <f>F24-G24+H24-I24</f>
        <v>4125.1500000000005</v>
      </c>
      <c r="K24" s="55" t="s">
        <v>31</v>
      </c>
      <c r="L24" s="94">
        <v>34121</v>
      </c>
      <c r="M24" s="21"/>
      <c r="N24">
        <f t="shared" si="1"/>
        <v>8250.3000000000011</v>
      </c>
      <c r="O24" s="24"/>
      <c r="P24" s="24"/>
      <c r="Q24" s="24"/>
    </row>
    <row r="25" spans="1:24" ht="24.75" customHeight="1" x14ac:dyDescent="0.2">
      <c r="B25" s="3" t="s">
        <v>7</v>
      </c>
      <c r="C25" s="2" t="s">
        <v>221</v>
      </c>
      <c r="D25" s="5"/>
      <c r="E25" s="3" t="s">
        <v>13</v>
      </c>
      <c r="F25" s="7">
        <v>4216.53</v>
      </c>
      <c r="G25" s="7"/>
      <c r="H25" s="7"/>
      <c r="I25" s="7"/>
      <c r="J25" s="7">
        <f>F25-G25+H25-I25</f>
        <v>4216.53</v>
      </c>
      <c r="K25" s="55" t="s">
        <v>31</v>
      </c>
      <c r="L25" s="51"/>
      <c r="M25" s="121"/>
      <c r="N25">
        <f t="shared" si="1"/>
        <v>8433.06</v>
      </c>
    </row>
    <row r="26" spans="1:24" ht="24.75" customHeight="1" x14ac:dyDescent="0.2">
      <c r="A26" s="51"/>
      <c r="B26" s="3" t="s">
        <v>437</v>
      </c>
      <c r="C26" s="2" t="s">
        <v>224</v>
      </c>
      <c r="D26" s="5"/>
      <c r="E26" s="28" t="s">
        <v>15</v>
      </c>
      <c r="F26" s="4">
        <v>1661.17</v>
      </c>
      <c r="G26" s="7"/>
      <c r="H26" s="7"/>
      <c r="I26" s="7"/>
      <c r="J26" s="7">
        <f t="shared" ref="J26:J31" si="7">+F26</f>
        <v>1661.17</v>
      </c>
      <c r="K26" s="55" t="s">
        <v>31</v>
      </c>
      <c r="L26" s="94">
        <v>35432</v>
      </c>
      <c r="M26" s="60"/>
      <c r="N26">
        <f t="shared" si="1"/>
        <v>3322.34</v>
      </c>
      <c r="O26" s="51"/>
      <c r="P26" s="51"/>
      <c r="Q26" s="51"/>
      <c r="R26" s="51"/>
      <c r="S26" s="51"/>
    </row>
    <row r="27" spans="1:24" ht="24.75" customHeight="1" x14ac:dyDescent="0.2">
      <c r="A27" s="51"/>
      <c r="B27" s="3" t="s">
        <v>438</v>
      </c>
      <c r="C27" s="2"/>
      <c r="D27" s="3"/>
      <c r="E27" s="28" t="s">
        <v>24</v>
      </c>
      <c r="F27" s="21">
        <f>11744.26*0.6/2</f>
        <v>3523.2779999999998</v>
      </c>
      <c r="G27" s="7"/>
      <c r="H27" s="7"/>
      <c r="I27" s="7"/>
      <c r="J27" s="7">
        <f t="shared" si="7"/>
        <v>3523.2779999999998</v>
      </c>
      <c r="K27" s="55" t="s">
        <v>31</v>
      </c>
      <c r="L27" s="94">
        <v>36892</v>
      </c>
      <c r="M27" s="60"/>
      <c r="N27">
        <f t="shared" si="1"/>
        <v>7046.5559999999996</v>
      </c>
      <c r="O27" s="51"/>
      <c r="P27" s="51"/>
      <c r="Q27" s="51"/>
      <c r="R27" s="51"/>
      <c r="S27" s="51"/>
    </row>
    <row r="28" spans="1:24" customFormat="1" ht="24.95" customHeight="1" x14ac:dyDescent="0.2">
      <c r="B28" s="3" t="s">
        <v>439</v>
      </c>
      <c r="C28" s="2" t="s">
        <v>196</v>
      </c>
      <c r="D28" s="5"/>
      <c r="E28" s="28" t="s">
        <v>87</v>
      </c>
      <c r="F28" s="7">
        <f>12600*0.66/2</f>
        <v>4158</v>
      </c>
      <c r="G28" s="7"/>
      <c r="H28" s="7"/>
      <c r="I28" s="7"/>
      <c r="J28" s="7">
        <f t="shared" si="7"/>
        <v>4158</v>
      </c>
      <c r="K28" s="55" t="s">
        <v>31</v>
      </c>
      <c r="L28" s="94">
        <v>36543</v>
      </c>
      <c r="M28" s="47"/>
      <c r="N28">
        <f t="shared" si="1"/>
        <v>8316</v>
      </c>
      <c r="O28" s="69"/>
      <c r="P28" s="124"/>
      <c r="Q28" s="51"/>
    </row>
    <row r="29" spans="1:24" customFormat="1" ht="24.95" customHeight="1" x14ac:dyDescent="0.2">
      <c r="A29" s="81">
        <v>43739</v>
      </c>
      <c r="B29" s="100" t="s">
        <v>395</v>
      </c>
      <c r="C29" s="10" t="s">
        <v>166</v>
      </c>
      <c r="D29" s="48"/>
      <c r="E29" s="54" t="s">
        <v>15</v>
      </c>
      <c r="F29" s="73">
        <f>2794.19*0.9/2</f>
        <v>1257.3855000000001</v>
      </c>
      <c r="G29" s="7"/>
      <c r="H29" s="21"/>
      <c r="I29" s="21"/>
      <c r="J29" s="7">
        <f t="shared" si="7"/>
        <v>1257.3855000000001</v>
      </c>
      <c r="K29" s="11"/>
      <c r="L29" s="94">
        <v>34864</v>
      </c>
      <c r="M29" s="24"/>
      <c r="N29" s="99"/>
      <c r="O29" s="98"/>
      <c r="P29" s="98"/>
    </row>
    <row r="30" spans="1:24" customFormat="1" ht="21.95" customHeight="1" x14ac:dyDescent="0.2">
      <c r="B30" s="3" t="s">
        <v>440</v>
      </c>
      <c r="C30" s="2" t="s">
        <v>201</v>
      </c>
      <c r="D30" s="5"/>
      <c r="E30" s="78" t="s">
        <v>108</v>
      </c>
      <c r="F30" s="7">
        <v>3113.55</v>
      </c>
      <c r="G30" s="24"/>
      <c r="H30" s="22"/>
      <c r="J30" s="7">
        <f t="shared" si="7"/>
        <v>3113.55</v>
      </c>
      <c r="K30" s="55" t="s">
        <v>31</v>
      </c>
      <c r="L30" s="94">
        <v>40179</v>
      </c>
      <c r="N30">
        <f t="shared" si="1"/>
        <v>6227.1</v>
      </c>
    </row>
    <row r="31" spans="1:24" s="51" customFormat="1" ht="24.95" customHeight="1" x14ac:dyDescent="0.2">
      <c r="B31" s="100" t="s">
        <v>396</v>
      </c>
      <c r="C31" s="2" t="s">
        <v>172</v>
      </c>
      <c r="D31" s="5"/>
      <c r="E31" s="28" t="s">
        <v>30</v>
      </c>
      <c r="F31" s="61">
        <f>6424.01675*0.66/2</f>
        <v>2119.9255275</v>
      </c>
      <c r="I31" s="7"/>
      <c r="J31" s="7">
        <f t="shared" si="7"/>
        <v>2119.9255275</v>
      </c>
      <c r="K31" s="55" t="s">
        <v>31</v>
      </c>
      <c r="L31" s="7"/>
      <c r="M31" s="21"/>
      <c r="N31">
        <f t="shared" si="1"/>
        <v>4239.8510550000001</v>
      </c>
      <c r="O31" s="47"/>
      <c r="P31" s="79"/>
      <c r="R31" s="79"/>
      <c r="S31" s="61"/>
    </row>
    <row r="32" spans="1:24" ht="24.75" customHeight="1" x14ac:dyDescent="0.2">
      <c r="B32" s="64" t="s">
        <v>441</v>
      </c>
      <c r="C32" s="10" t="s">
        <v>141</v>
      </c>
      <c r="D32" s="48"/>
      <c r="E32" s="54" t="s">
        <v>65</v>
      </c>
      <c r="F32" s="7">
        <f>14210.7/2</f>
        <v>7105.35</v>
      </c>
      <c r="G32" s="7"/>
      <c r="H32" s="7"/>
      <c r="I32" s="7"/>
      <c r="J32" s="7">
        <f t="shared" ref="J32:J43" si="8">F32-G32+H32-I32</f>
        <v>7105.35</v>
      </c>
      <c r="K32" s="55" t="s">
        <v>31</v>
      </c>
      <c r="L32" s="94">
        <v>32540</v>
      </c>
      <c r="M32" s="121"/>
      <c r="N32">
        <f t="shared" si="1"/>
        <v>14210.7</v>
      </c>
    </row>
    <row r="33" spans="1:19" ht="24.75" customHeight="1" x14ac:dyDescent="0.2">
      <c r="B33" s="3" t="s">
        <v>442</v>
      </c>
      <c r="C33" s="2" t="s">
        <v>223</v>
      </c>
      <c r="D33" s="5"/>
      <c r="E33" s="3" t="s">
        <v>13</v>
      </c>
      <c r="F33" s="7">
        <v>3690.67</v>
      </c>
      <c r="G33" s="27"/>
      <c r="H33" s="27"/>
      <c r="I33" s="7"/>
      <c r="J33" s="7">
        <f t="shared" si="8"/>
        <v>3690.67</v>
      </c>
      <c r="K33" s="55" t="s">
        <v>31</v>
      </c>
      <c r="L33" s="94">
        <v>34079</v>
      </c>
      <c r="M33" s="121"/>
      <c r="N33">
        <f t="shared" si="1"/>
        <v>7381.34</v>
      </c>
      <c r="O33" s="2"/>
      <c r="P33" s="5"/>
      <c r="Q33" s="28"/>
      <c r="R33" s="27"/>
    </row>
    <row r="34" spans="1:19" s="51" customFormat="1" ht="24.95" customHeight="1" x14ac:dyDescent="0.2">
      <c r="A34" s="55"/>
      <c r="B34" s="2" t="s">
        <v>443</v>
      </c>
      <c r="C34" s="2" t="s">
        <v>195</v>
      </c>
      <c r="D34" s="5"/>
      <c r="E34" s="28" t="s">
        <v>85</v>
      </c>
      <c r="F34" s="4">
        <v>3884.1</v>
      </c>
      <c r="G34" s="7"/>
      <c r="H34" s="7"/>
      <c r="I34" s="7"/>
      <c r="J34" s="7">
        <f t="shared" si="8"/>
        <v>3884.1</v>
      </c>
      <c r="K34" s="55" t="s">
        <v>31</v>
      </c>
      <c r="L34" s="94">
        <v>35796</v>
      </c>
      <c r="M34" s="121"/>
      <c r="N34">
        <f t="shared" si="1"/>
        <v>7768.2</v>
      </c>
      <c r="O34" s="55"/>
      <c r="P34" s="55"/>
      <c r="Q34" s="55"/>
      <c r="R34" s="55"/>
      <c r="S34" s="55"/>
    </row>
    <row r="35" spans="1:19" customFormat="1" ht="24.95" customHeight="1" x14ac:dyDescent="0.2">
      <c r="B35" s="3" t="s">
        <v>444</v>
      </c>
      <c r="C35" s="2" t="s">
        <v>255</v>
      </c>
      <c r="D35" s="5"/>
      <c r="E35" s="3" t="s">
        <v>254</v>
      </c>
      <c r="F35" s="4">
        <f>12203.1*0.6/2</f>
        <v>3660.93</v>
      </c>
      <c r="G35" s="7"/>
      <c r="H35" s="4"/>
      <c r="I35" s="4"/>
      <c r="J35" s="7">
        <f>+F35</f>
        <v>3660.93</v>
      </c>
      <c r="K35" s="11"/>
      <c r="L35" s="94">
        <v>36892</v>
      </c>
      <c r="M35" s="69"/>
      <c r="N35">
        <f t="shared" si="1"/>
        <v>7321.86</v>
      </c>
    </row>
    <row r="36" spans="1:19" customFormat="1" ht="24.95" customHeight="1" x14ac:dyDescent="0.2">
      <c r="B36" s="64" t="s">
        <v>445</v>
      </c>
      <c r="C36" s="10" t="s">
        <v>140</v>
      </c>
      <c r="D36" s="48"/>
      <c r="E36" s="54" t="s">
        <v>65</v>
      </c>
      <c r="F36" s="7">
        <f>9167*0.63/2</f>
        <v>2887.605</v>
      </c>
      <c r="G36" s="7"/>
      <c r="H36" s="4"/>
      <c r="I36" s="4"/>
      <c r="J36" s="7">
        <f>+F36</f>
        <v>2887.605</v>
      </c>
      <c r="K36" s="11"/>
      <c r="L36" s="94"/>
      <c r="M36" s="121">
        <f>+F36/15*4.16666666666667*0.5</f>
        <v>401.05625000000032</v>
      </c>
      <c r="N36">
        <f t="shared" si="1"/>
        <v>5775.21</v>
      </c>
    </row>
    <row r="37" spans="1:19" s="51" customFormat="1" ht="29.25" customHeight="1" x14ac:dyDescent="0.2">
      <c r="B37" s="76" t="s">
        <v>446</v>
      </c>
      <c r="C37" s="51" t="s">
        <v>205</v>
      </c>
      <c r="D37" s="75"/>
      <c r="E37" s="62" t="s">
        <v>94</v>
      </c>
      <c r="F37" s="7">
        <v>2783.32</v>
      </c>
      <c r="G37" s="73"/>
      <c r="H37" s="73"/>
      <c r="I37" s="61"/>
      <c r="J37" s="7">
        <f t="shared" si="8"/>
        <v>2783.32</v>
      </c>
      <c r="K37" s="55" t="s">
        <v>31</v>
      </c>
      <c r="L37" s="94">
        <v>36465</v>
      </c>
      <c r="M37" s="124"/>
      <c r="N37">
        <f t="shared" si="1"/>
        <v>5566.64</v>
      </c>
      <c r="P37" s="122"/>
    </row>
    <row r="38" spans="1:19" s="51" customFormat="1" ht="29.25" customHeight="1" x14ac:dyDescent="0.2">
      <c r="B38" s="64" t="s">
        <v>447</v>
      </c>
      <c r="C38" s="2" t="s">
        <v>128</v>
      </c>
      <c r="D38" s="5"/>
      <c r="E38" s="52" t="s">
        <v>59</v>
      </c>
      <c r="F38" s="7">
        <f>10000*0.6/2</f>
        <v>3000</v>
      </c>
      <c r="G38" s="73"/>
      <c r="H38" s="73"/>
      <c r="I38" s="61"/>
      <c r="J38" s="7">
        <f t="shared" si="8"/>
        <v>3000</v>
      </c>
      <c r="K38" s="55" t="s">
        <v>31</v>
      </c>
      <c r="L38" s="94">
        <v>36892</v>
      </c>
      <c r="M38" s="124"/>
      <c r="N38">
        <f t="shared" si="1"/>
        <v>6000</v>
      </c>
      <c r="P38" s="122"/>
    </row>
    <row r="39" spans="1:19" s="51" customFormat="1" ht="24.95" customHeight="1" x14ac:dyDescent="0.2">
      <c r="A39" s="55"/>
      <c r="B39" s="3" t="s">
        <v>416</v>
      </c>
      <c r="C39" s="2" t="s">
        <v>239</v>
      </c>
      <c r="D39" s="5"/>
      <c r="E39" s="105" t="s">
        <v>238</v>
      </c>
      <c r="F39" s="7">
        <f>33214.2*0.85/2</f>
        <v>14116.034999999998</v>
      </c>
      <c r="G39" s="7"/>
      <c r="H39" s="7"/>
      <c r="I39" s="7"/>
      <c r="J39" s="7">
        <f t="shared" ref="J39" si="9">F39-G39+H39-I39</f>
        <v>14116.034999999998</v>
      </c>
      <c r="K39" s="55" t="s">
        <v>31</v>
      </c>
      <c r="L39" s="94">
        <v>35674</v>
      </c>
      <c r="M39" s="121"/>
      <c r="N39">
        <f>+J39*2/30*50</f>
        <v>47053.44999999999</v>
      </c>
      <c r="O39" s="21"/>
      <c r="P39" s="55"/>
      <c r="Q39" s="55"/>
      <c r="R39" s="55"/>
      <c r="S39" s="55"/>
    </row>
    <row r="40" spans="1:19" s="51" customFormat="1" ht="24.95" customHeight="1" x14ac:dyDescent="0.2">
      <c r="A40" s="55"/>
      <c r="B40" s="77" t="s">
        <v>448</v>
      </c>
      <c r="C40" s="51" t="s">
        <v>199</v>
      </c>
      <c r="D40" s="75"/>
      <c r="E40" s="86" t="s">
        <v>90</v>
      </c>
      <c r="F40" s="61">
        <f>10949.94*0.8/2</f>
        <v>4379.9760000000006</v>
      </c>
      <c r="G40" s="7"/>
      <c r="H40" s="7"/>
      <c r="I40" s="7"/>
      <c r="J40" s="7">
        <f t="shared" ref="J40" si="10">F40-G40+H40-I40</f>
        <v>4379.9760000000006</v>
      </c>
      <c r="K40" s="55" t="s">
        <v>31</v>
      </c>
      <c r="L40" s="94"/>
      <c r="M40" s="121">
        <f>+F40/15*4.16666666666667*0.5</f>
        <v>608.33000000000061</v>
      </c>
      <c r="N40">
        <f t="shared" si="1"/>
        <v>8759.9520000000011</v>
      </c>
      <c r="O40" s="55"/>
      <c r="P40" s="55"/>
      <c r="Q40" s="55"/>
      <c r="R40" s="55"/>
      <c r="S40" s="55"/>
    </row>
    <row r="41" spans="1:19" s="51" customFormat="1" ht="24.95" customHeight="1" x14ac:dyDescent="0.2">
      <c r="A41" s="55"/>
      <c r="B41" s="2" t="s">
        <v>449</v>
      </c>
      <c r="C41" s="2" t="s">
        <v>557</v>
      </c>
      <c r="D41" s="5"/>
      <c r="E41" s="28" t="s">
        <v>387</v>
      </c>
      <c r="F41" s="4">
        <f>12087.6*0.69/2</f>
        <v>4170.2219999999998</v>
      </c>
      <c r="G41" s="7"/>
      <c r="H41" s="7"/>
      <c r="I41" s="7"/>
      <c r="J41" s="7">
        <f t="shared" ref="J41" si="11">F41-G41+H41-I41</f>
        <v>4170.2219999999998</v>
      </c>
      <c r="K41" s="55" t="s">
        <v>31</v>
      </c>
      <c r="L41" s="94"/>
      <c r="M41" s="121"/>
      <c r="N41">
        <f t="shared" si="1"/>
        <v>8340.4439999999995</v>
      </c>
      <c r="O41" s="55"/>
      <c r="P41" s="55"/>
      <c r="Q41" s="55"/>
      <c r="R41" s="55"/>
      <c r="S41" s="55"/>
    </row>
    <row r="42" spans="1:19" s="51" customFormat="1" ht="24.95" customHeight="1" x14ac:dyDescent="0.2">
      <c r="A42" s="55"/>
      <c r="B42" s="3" t="s">
        <v>8</v>
      </c>
      <c r="C42" s="2" t="s">
        <v>220</v>
      </c>
      <c r="D42" s="5"/>
      <c r="E42" s="3" t="s">
        <v>19</v>
      </c>
      <c r="F42" s="7">
        <v>4341.84</v>
      </c>
      <c r="G42" s="7"/>
      <c r="H42" s="7"/>
      <c r="I42" s="7"/>
      <c r="J42" s="7">
        <f t="shared" si="8"/>
        <v>4341.84</v>
      </c>
      <c r="K42" s="55" t="s">
        <v>31</v>
      </c>
      <c r="M42" s="121"/>
      <c r="N42">
        <f t="shared" si="1"/>
        <v>8683.68</v>
      </c>
      <c r="O42" s="55"/>
      <c r="P42" s="55"/>
      <c r="Q42" s="55"/>
      <c r="R42" s="55"/>
      <c r="S42" s="55"/>
    </row>
    <row r="43" spans="1:19" s="51" customFormat="1" ht="24.95" customHeight="1" x14ac:dyDescent="0.2">
      <c r="A43" s="55"/>
      <c r="B43" s="64" t="s">
        <v>450</v>
      </c>
      <c r="C43" s="2" t="s">
        <v>143</v>
      </c>
      <c r="D43" s="5"/>
      <c r="E43" s="28" t="s">
        <v>67</v>
      </c>
      <c r="F43" s="7">
        <v>6991</v>
      </c>
      <c r="G43" s="7"/>
      <c r="H43" s="7"/>
      <c r="I43" s="7"/>
      <c r="J43" s="7">
        <f t="shared" si="8"/>
        <v>6991</v>
      </c>
      <c r="K43" s="55" t="s">
        <v>31</v>
      </c>
      <c r="L43" s="94">
        <v>32540</v>
      </c>
      <c r="M43" s="121"/>
      <c r="N43">
        <f t="shared" si="1"/>
        <v>13982</v>
      </c>
      <c r="O43" s="55" cm="1">
        <f t="array" ref="O43">SUM(N5:N43/41)</f>
        <v>7666.558846609757</v>
      </c>
      <c r="P43" s="55"/>
      <c r="Q43" s="55"/>
      <c r="R43" s="55"/>
      <c r="S43" s="55"/>
    </row>
    <row r="44" spans="1:19" s="8" customFormat="1" ht="24.75" customHeight="1" x14ac:dyDescent="0.2">
      <c r="E44" s="8" t="s">
        <v>9</v>
      </c>
      <c r="F44" s="68">
        <f>SUM(F5:F43)</f>
        <v>149011.15185550004</v>
      </c>
      <c r="G44" s="68">
        <f>SUM(G5:G43)</f>
        <v>0</v>
      </c>
      <c r="H44" s="68">
        <f>SUM(H5:H43)</f>
        <v>0</v>
      </c>
      <c r="I44" s="68">
        <f>SUM(I5:I43)</f>
        <v>0</v>
      </c>
      <c r="J44" s="68">
        <f>SUM(J5:J43)</f>
        <v>149011.15185550004</v>
      </c>
    </row>
    <row r="45" spans="1:19" ht="24.75" customHeight="1" x14ac:dyDescent="0.2"/>
    <row r="46" spans="1:19" ht="24.75" customHeight="1" x14ac:dyDescent="0.2"/>
    <row r="47" spans="1:19" ht="24.75" customHeight="1" x14ac:dyDescent="0.2"/>
    <row r="48" spans="1:19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L4:N48"/>
  <sortState ref="A6:K32">
    <sortCondition ref="C6:C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A10" sqref="A10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8" t="str">
        <f>+PRESIDENCIA!E1</f>
        <v>MUNICIPIO IXTLAHUACAN DEL RIO, JALISCO.</v>
      </c>
      <c r="B2" s="128"/>
      <c r="C2" s="128"/>
      <c r="D2" s="128"/>
      <c r="E2" s="128"/>
      <c r="F2" s="128"/>
      <c r="G2" s="128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8" t="str">
        <f>+PRESIDENCIA!E3</f>
        <v>SEGUNDA QUINCENA DE JULIO DE 2024</v>
      </c>
      <c r="B4" s="128"/>
      <c r="C4" s="128"/>
      <c r="D4" s="128"/>
      <c r="E4" s="128"/>
      <c r="F4" s="128"/>
      <c r="G4" s="128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43</v>
      </c>
      <c r="B8" s="31" t="s">
        <v>4</v>
      </c>
      <c r="C8" s="31" t="s">
        <v>29</v>
      </c>
      <c r="D8" s="31" t="s">
        <v>33</v>
      </c>
      <c r="E8" s="112" t="s">
        <v>400</v>
      </c>
      <c r="F8" s="113" t="s">
        <v>496</v>
      </c>
      <c r="G8" s="31" t="s">
        <v>5</v>
      </c>
    </row>
    <row r="9" spans="1:7" x14ac:dyDescent="0.2">
      <c r="A9" s="32" t="s">
        <v>100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38</v>
      </c>
      <c r="B10" s="33">
        <f>+PRESIDENCIA!H19</f>
        <v>92863.033724999987</v>
      </c>
      <c r="C10" s="33">
        <f>+PRESIDENCIA!I19</f>
        <v>11474.875000000002</v>
      </c>
      <c r="D10" s="33">
        <f>+PRESIDENCIA!J19</f>
        <v>0</v>
      </c>
      <c r="E10" s="33">
        <f>+PRESIDENCIA!K19</f>
        <v>7819.2276283750016</v>
      </c>
      <c r="F10" s="33">
        <f>+PRESIDENCIA!L19</f>
        <v>3796</v>
      </c>
      <c r="G10" s="33">
        <f>+PRESIDENCIA!M19</f>
        <v>69772.93109662499</v>
      </c>
    </row>
    <row r="11" spans="1:7" x14ac:dyDescent="0.2">
      <c r="A11" s="32" t="s">
        <v>101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39</v>
      </c>
      <c r="B12" s="33">
        <f>+'SECRETARIA GENERAL'!H26</f>
        <v>93181.166700000002</v>
      </c>
      <c r="C12" s="33">
        <f>+'SECRETARIA GENERAL'!I26</f>
        <v>8038.5300000000007</v>
      </c>
      <c r="D12" s="33">
        <f>+'SECRETARIA GENERAL'!J26</f>
        <v>427.19000000000005</v>
      </c>
      <c r="E12" s="33">
        <f>+'SECRETARIA GENERAL'!K26</f>
        <v>10337.139457999998</v>
      </c>
      <c r="F12" s="33">
        <f>+'SECRETARIA GENERAL'!L26</f>
        <v>2294</v>
      </c>
      <c r="G12" s="33">
        <f>+'SECRETARIA GENERAL'!M26</f>
        <v>72938.687242000015</v>
      </c>
    </row>
    <row r="13" spans="1:7" x14ac:dyDescent="0.2">
      <c r="A13" s="32" t="s">
        <v>102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57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40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103</v>
      </c>
      <c r="B16" s="33">
        <f>+'COORDINACION SERVICIOS PUBLICOS'!H71</f>
        <v>297397.39059999993</v>
      </c>
      <c r="C16" s="33">
        <f>+'COORDINACION SERVICIOS PUBLICOS'!I71</f>
        <v>23168.785000000011</v>
      </c>
      <c r="D16" s="33">
        <f>+'COORDINACION SERVICIOS PUBLICOS'!J71</f>
        <v>1419.4849999999999</v>
      </c>
      <c r="E16" s="33">
        <f>+'COORDINACION SERVICIOS PUBLICOS'!K71</f>
        <v>33152.454219000014</v>
      </c>
      <c r="F16" s="33">
        <f>+'COORDINACION SERVICIOS PUBLICOS'!L71</f>
        <v>6242</v>
      </c>
      <c r="G16" s="33">
        <f>+'COORDINACION SERVICIOS PUBLICOS'!M71</f>
        <v>236253.63638100005</v>
      </c>
    </row>
    <row r="17" spans="1:7" x14ac:dyDescent="0.2">
      <c r="A17" s="32" t="s">
        <v>104</v>
      </c>
      <c r="B17" s="33">
        <f>+'C. D ECONOMICO'!H25</f>
        <v>97074.809249999991</v>
      </c>
      <c r="C17" s="33">
        <f>+'C. D ECONOMICO'!I25</f>
        <v>8351.7799999999988</v>
      </c>
      <c r="D17" s="33">
        <f>+'C. D ECONOMICO'!J25</f>
        <v>0</v>
      </c>
      <c r="E17" s="33">
        <f>+'C. D ECONOMICO'!K25</f>
        <v>10229.93588875</v>
      </c>
      <c r="F17" s="33">
        <f>+'C. D ECONOMICO'!L25</f>
        <v>2153</v>
      </c>
      <c r="G17" s="33">
        <f>+'C. D ECONOMICO'!M25</f>
        <v>76340.093361249994</v>
      </c>
    </row>
    <row r="18" spans="1:7" x14ac:dyDescent="0.2">
      <c r="A18" s="32" t="s">
        <v>105</v>
      </c>
      <c r="B18" s="33">
        <f>+'C. GESTION INTEGRAL op'!G44</f>
        <v>212703.06035000004</v>
      </c>
      <c r="C18" s="33">
        <f>+'C. GESTION INTEGRAL op'!H44</f>
        <v>19478.615000000002</v>
      </c>
      <c r="D18" s="33">
        <f>+'C. GESTION INTEGRAL op'!I44</f>
        <v>0</v>
      </c>
      <c r="E18" s="33">
        <f>+'C. GESTION INTEGRAL op'!J44</f>
        <v>24460.851940250002</v>
      </c>
      <c r="F18" s="33">
        <f>+'C. GESTION INTEGRAL op'!K44</f>
        <v>8969</v>
      </c>
      <c r="G18" s="33">
        <f>+'C. GESTION INTEGRAL op'!L44</f>
        <v>159794.59340975</v>
      </c>
    </row>
    <row r="19" spans="1:7" x14ac:dyDescent="0.2">
      <c r="A19" s="32" t="s">
        <v>106</v>
      </c>
      <c r="B19" s="33">
        <f>+'C. GRAL CONSTRUC.'!H41</f>
        <v>146075.11239999998</v>
      </c>
      <c r="C19" s="33">
        <f>+'C. GRAL CONSTRUC.'!I41</f>
        <v>11619.78</v>
      </c>
      <c r="D19" s="33">
        <f>+'C. GRAL CONSTRUC.'!J41</f>
        <v>898.32</v>
      </c>
      <c r="E19" s="33">
        <f>+'C. GRAL CONSTRUC.'!K41</f>
        <v>16217.214601000001</v>
      </c>
      <c r="F19" s="33">
        <f>+'C. GRAL CONSTRUC.'!L41</f>
        <v>4952.84</v>
      </c>
      <c r="G19" s="33">
        <f>+'C. GRAL CONSTRUC.'!M41</f>
        <v>114183.59779899998</v>
      </c>
    </row>
    <row r="20" spans="1:7" x14ac:dyDescent="0.2">
      <c r="A20" s="80" t="s">
        <v>348</v>
      </c>
      <c r="B20" s="33">
        <f>+'UNIDAD DE GESTION DE PROYECTOS'!H19</f>
        <v>67021.431700000016</v>
      </c>
      <c r="C20" s="33">
        <f>+'UNIDAD DE GESTION DE PROYECTOS'!I19</f>
        <v>6108.619999999999</v>
      </c>
      <c r="D20" s="33">
        <f>+'UNIDAD DE GESTION DE PROYECTOS'!J19</f>
        <v>20.11</v>
      </c>
      <c r="E20" s="33">
        <f>+'UNIDAD DE GESTION DE PROYECTOS'!K19</f>
        <v>5633.9881236250003</v>
      </c>
      <c r="F20" s="33">
        <f>+'UNIDAD DE GESTION DE PROYECTOS'!L19</f>
        <v>0</v>
      </c>
      <c r="G20" s="33">
        <f>+'UNIDAD DE GESTION DE PROYECTOS'!M19</f>
        <v>55298.933576374999</v>
      </c>
    </row>
    <row r="21" spans="1:7" x14ac:dyDescent="0.2">
      <c r="A21" s="34" t="s">
        <v>45</v>
      </c>
      <c r="B21" s="35">
        <f>SUM(B9:B20)</f>
        <v>1314245.2197249997</v>
      </c>
      <c r="C21" s="35">
        <f t="shared" ref="C21:G21" si="0">SUM(C9:C20)</f>
        <v>126250.58500000001</v>
      </c>
      <c r="D21" s="35">
        <f t="shared" si="0"/>
        <v>3009.2000000000003</v>
      </c>
      <c r="E21" s="35">
        <f t="shared" si="0"/>
        <v>137608.72188400003</v>
      </c>
      <c r="F21" s="35">
        <f t="shared" si="0"/>
        <v>29906.84</v>
      </c>
      <c r="G21" s="35">
        <f t="shared" si="0"/>
        <v>1023488.2728410001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107</v>
      </c>
      <c r="B23" s="33">
        <f>+SEG.CIUDADANA.!H55</f>
        <v>317708.8176250002</v>
      </c>
      <c r="C23" s="33">
        <f>+SEG.CIUDADANA.!I55</f>
        <v>31136.039999999979</v>
      </c>
      <c r="D23" s="33">
        <f>+SEG.CIUDADANA.!J55</f>
        <v>0</v>
      </c>
      <c r="E23" s="33">
        <f>+SEG.CIUDADANA.!K55</f>
        <v>34040.564957624985</v>
      </c>
      <c r="F23" s="33">
        <f>+SEG.CIUDADANA.!L55</f>
        <v>23141.53</v>
      </c>
      <c r="G23" s="33">
        <f>B23-C23+D23-E23-F23</f>
        <v>229390.68266737522</v>
      </c>
    </row>
    <row r="24" spans="1:7" x14ac:dyDescent="0.2">
      <c r="A24" s="34" t="s">
        <v>42</v>
      </c>
      <c r="B24" s="35">
        <f t="shared" ref="B24:G24" si="1">SUM(B23:B23)</f>
        <v>317708.8176250002</v>
      </c>
      <c r="C24" s="35">
        <f t="shared" si="1"/>
        <v>31136.039999999979</v>
      </c>
      <c r="D24" s="35">
        <f t="shared" si="1"/>
        <v>0</v>
      </c>
      <c r="E24" s="35">
        <f t="shared" si="1"/>
        <v>34040.564957624985</v>
      </c>
      <c r="F24" s="35">
        <f t="shared" si="1"/>
        <v>23141.53</v>
      </c>
      <c r="G24" s="35">
        <f t="shared" si="1"/>
        <v>229390.68266737522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46</v>
      </c>
      <c r="B26" s="33">
        <f>+jubilados!F44</f>
        <v>149011.15185550004</v>
      </c>
      <c r="C26" s="33">
        <f>+jubilados!G44</f>
        <v>0</v>
      </c>
      <c r="D26" s="33">
        <f>+jubilados!H44</f>
        <v>0</v>
      </c>
      <c r="E26" s="33">
        <f>+jubilados!I44</f>
        <v>0</v>
      </c>
      <c r="F26" s="33"/>
      <c r="G26" s="33">
        <f>B26-C26+D26-E26</f>
        <v>149011.15185550004</v>
      </c>
    </row>
    <row r="27" spans="1:7" x14ac:dyDescent="0.2">
      <c r="A27" s="34" t="s">
        <v>41</v>
      </c>
      <c r="B27" s="35">
        <f t="shared" ref="B27:G27" si="2">+B21+B26</f>
        <v>1463256.3715804997</v>
      </c>
      <c r="C27" s="35">
        <f t="shared" si="2"/>
        <v>126250.58500000001</v>
      </c>
      <c r="D27" s="35">
        <f t="shared" si="2"/>
        <v>3009.2000000000003</v>
      </c>
      <c r="E27" s="35">
        <f t="shared" si="2"/>
        <v>137608.72188400003</v>
      </c>
      <c r="F27" s="35">
        <f t="shared" si="2"/>
        <v>29906.84</v>
      </c>
      <c r="G27" s="35">
        <f t="shared" si="2"/>
        <v>1172499.4246965002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44</v>
      </c>
      <c r="B30" s="35">
        <f t="shared" ref="B30:G30" si="3">+B27+B24</f>
        <v>1780965.1892054998</v>
      </c>
      <c r="C30" s="35">
        <f t="shared" si="3"/>
        <v>157386.625</v>
      </c>
      <c r="D30" s="35">
        <f t="shared" si="3"/>
        <v>3009.2000000000003</v>
      </c>
      <c r="E30" s="35">
        <f t="shared" si="3"/>
        <v>171649.286841625</v>
      </c>
      <c r="F30" s="35">
        <f t="shared" si="3"/>
        <v>53048.369999999995</v>
      </c>
      <c r="G30" s="35">
        <f t="shared" si="3"/>
        <v>1401890.1073638755</v>
      </c>
    </row>
    <row r="32" spans="1:7" x14ac:dyDescent="0.2">
      <c r="A32" s="29"/>
      <c r="B32" s="31" t="s">
        <v>402</v>
      </c>
      <c r="C32" s="31" t="s">
        <v>403</v>
      </c>
      <c r="D32" s="31" t="s">
        <v>404</v>
      </c>
      <c r="E32" s="129" t="s">
        <v>405</v>
      </c>
      <c r="F32" s="130"/>
      <c r="G32" s="131"/>
    </row>
    <row r="33" spans="1:7" x14ac:dyDescent="0.2">
      <c r="A33" s="34" t="s">
        <v>401</v>
      </c>
      <c r="B33" s="33">
        <f>+B21+B24</f>
        <v>1631954.0373499999</v>
      </c>
      <c r="C33" s="33">
        <f>+E30</f>
        <v>171649.286841625</v>
      </c>
      <c r="D33" s="33">
        <f>+C33/11.5*20.5</f>
        <v>305983.51132637501</v>
      </c>
      <c r="E33" s="132">
        <f>+C33+D33</f>
        <v>477632.79816800001</v>
      </c>
      <c r="F33" s="133"/>
      <c r="G33" s="134"/>
    </row>
    <row r="34" spans="1:7" x14ac:dyDescent="0.2">
      <c r="D34" s="114" t="s">
        <v>500</v>
      </c>
      <c r="G34" s="6">
        <f>+F30</f>
        <v>53048.369999999995</v>
      </c>
    </row>
    <row r="35" spans="1:7" x14ac:dyDescent="0.2">
      <c r="G35" s="1">
        <f>55266.37-420-550-1248</f>
        <v>53048.37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2024-07-29T17:38:53Z</cp:lastPrinted>
  <dcterms:created xsi:type="dcterms:W3CDTF">2004-03-09T14:35:28Z</dcterms:created>
  <dcterms:modified xsi:type="dcterms:W3CDTF">2024-09-26T20:47:41Z</dcterms:modified>
</cp:coreProperties>
</file>