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isa Rodriguez\Downloads\"/>
    </mc:Choice>
  </mc:AlternateContent>
  <bookViews>
    <workbookView xWindow="0" yWindow="0" windowWidth="9855" windowHeight="7005"/>
  </bookViews>
  <sheets>
    <sheet name="T EXT 2DA dic" sheetId="116" r:id="rId1"/>
    <sheet name="T EXT 1ra dic" sheetId="115" r:id="rId2"/>
    <sheet name="T EXT 2daNOV" sheetId="114" r:id="rId3"/>
    <sheet name="T EXT 1RANOV" sheetId="113" r:id="rId4"/>
    <sheet name="T EXT 2DA OCT" sheetId="112" r:id="rId5"/>
    <sheet name="T EXT 1RA OCT" sheetId="111" r:id="rId6"/>
    <sheet name="t.ext 2daSEP" sheetId="110" r:id="rId7"/>
    <sheet name="t.ext 1RA SEP" sheetId="109" r:id="rId8"/>
    <sheet name="t.ext 2da ago" sheetId="108" r:id="rId9"/>
    <sheet name="t.ext 1RA AGO" sheetId="107" r:id="rId10"/>
    <sheet name="t.ext 2da JUL" sheetId="106" r:id="rId11"/>
    <sheet name="t.ext 1RA JUL" sheetId="105" r:id="rId12"/>
    <sheet name="t.ext 2DA JUN" sheetId="104" r:id="rId13"/>
    <sheet name="t.ext 1RA JUN" sheetId="103" r:id="rId14"/>
    <sheet name="t.ext 2DA MAY" sheetId="102" r:id="rId15"/>
    <sheet name="t.ext 1RA MAY" sheetId="101" r:id="rId16"/>
    <sheet name="t.ext 2DA abr" sheetId="100" r:id="rId17"/>
    <sheet name="t.ext 1ra abr" sheetId="99" r:id="rId18"/>
    <sheet name="t.ext 2DA mar" sheetId="97" r:id="rId19"/>
    <sheet name="t.ext 1Ra mar" sheetId="98" r:id="rId20"/>
    <sheet name="t.ext 2da FEB" sheetId="96" r:id="rId21"/>
    <sheet name="t.ext 1RA FEB" sheetId="95" r:id="rId22"/>
    <sheet name="t.ext 2DA ene" sheetId="94" r:id="rId23"/>
    <sheet name="t.ext 1ra ene" sheetId="93" r:id="rId24"/>
  </sheets>
  <definedNames>
    <definedName name="_xlnm.Print_Area" localSheetId="1">'T EXT 1ra dic'!$A$1:$G$38</definedName>
    <definedName name="_xlnm.Print_Area" localSheetId="5">'T EXT 1RA OCT'!$A$1:$G$51</definedName>
    <definedName name="_xlnm.Print_Area" localSheetId="3">'T EXT 1RANOV'!$A$1:$G$37</definedName>
    <definedName name="_xlnm.Print_Area" localSheetId="0">'T EXT 2DA dic'!$A$1:$G$51</definedName>
    <definedName name="_xlnm.Print_Area" localSheetId="4">'T EXT 2DA OCT'!$A$1:$G$55</definedName>
    <definedName name="_xlnm.Print_Area" localSheetId="2">'T EXT 2daNOV'!$A$1:$G$54</definedName>
    <definedName name="_xlnm.Print_Area" localSheetId="17">'t.ext 1ra abr'!$A$1:$G$38</definedName>
    <definedName name="_xlnm.Print_Area" localSheetId="9">'t.ext 1RA AGO'!$A$1:$G$55</definedName>
    <definedName name="_xlnm.Print_Area" localSheetId="23">'t.ext 1ra ene'!$A$1:$G$28</definedName>
    <definedName name="_xlnm.Print_Area" localSheetId="21">'t.ext 1RA FEB'!$A$41:$G$55</definedName>
    <definedName name="_xlnm.Print_Area" localSheetId="11">'t.ext 1RA JUL'!$A$1:$G$54</definedName>
    <definedName name="_xlnm.Print_Area" localSheetId="13">'t.ext 1RA JUN'!$A$1:$G$44</definedName>
    <definedName name="_xlnm.Print_Area" localSheetId="19">'t.ext 1Ra mar'!$A$1:$G$31</definedName>
    <definedName name="_xlnm.Print_Area" localSheetId="15">'t.ext 1RA MAY'!$A$1:$G$55</definedName>
    <definedName name="_xlnm.Print_Area" localSheetId="7">'t.ext 1RA SEP'!$A$1:$G$51</definedName>
    <definedName name="_xlnm.Print_Area" localSheetId="16">'t.ext 2DA abr'!$A$1:$G$41</definedName>
    <definedName name="_xlnm.Print_Area" localSheetId="8">'t.ext 2da ago'!$A$1:$G$43</definedName>
    <definedName name="_xlnm.Print_Area" localSheetId="22">'t.ext 2DA ene'!$A$1:$G$24</definedName>
    <definedName name="_xlnm.Print_Area" localSheetId="20">'t.ext 2da FEB'!$A$1:$G$25</definedName>
    <definedName name="_xlnm.Print_Area" localSheetId="10">'t.ext 2da JUL'!$A$1:$G$55</definedName>
    <definedName name="_xlnm.Print_Area" localSheetId="12">'t.ext 2DA JUN'!$A$1:$G$42</definedName>
    <definedName name="_xlnm.Print_Area" localSheetId="18">'t.ext 2DA mar'!$A$1:$G$32</definedName>
    <definedName name="_xlnm.Print_Area" localSheetId="14">'t.ext 2DA MAY'!$A$1:$G$55</definedName>
    <definedName name="_xlnm.Print_Area" localSheetId="6">'t.ext 2daSEP'!$A$1:$G$75</definedName>
  </definedNames>
  <calcPr calcId="162913"/>
</workbook>
</file>

<file path=xl/calcChain.xml><?xml version="1.0" encoding="utf-8"?>
<calcChain xmlns="http://schemas.openxmlformats.org/spreadsheetml/2006/main">
  <c r="B40" i="107" l="1"/>
  <c r="H9" i="93" l="1"/>
  <c r="I9" i="93"/>
  <c r="J9" i="93" s="1"/>
  <c r="H10" i="93"/>
  <c r="I10" i="93"/>
  <c r="J10" i="93"/>
  <c r="H11" i="93"/>
  <c r="I11" i="93"/>
  <c r="J11" i="93" s="1"/>
  <c r="H12" i="93"/>
  <c r="I12" i="93"/>
  <c r="J12" i="93"/>
  <c r="H13" i="93"/>
  <c r="I13" i="93"/>
  <c r="J13" i="93" s="1"/>
  <c r="H14" i="93"/>
  <c r="I14" i="93"/>
  <c r="J14" i="93"/>
  <c r="J15" i="93"/>
  <c r="J16" i="93"/>
  <c r="H17" i="93"/>
  <c r="I17" i="93"/>
  <c r="J17" i="93" s="1"/>
  <c r="J18" i="93"/>
  <c r="H19" i="93"/>
  <c r="I19" i="93"/>
  <c r="J19" i="93" s="1"/>
  <c r="H20" i="93"/>
  <c r="I20" i="93"/>
  <c r="J20" i="93"/>
  <c r="J27" i="93"/>
  <c r="J28" i="93"/>
  <c r="B37" i="116" l="1"/>
  <c r="C37" i="116"/>
  <c r="C38" i="116"/>
  <c r="C36" i="116"/>
  <c r="D15" i="116"/>
  <c r="D16" i="116"/>
  <c r="B8" i="116"/>
  <c r="C8" i="116"/>
  <c r="B9" i="116"/>
  <c r="C9" i="116"/>
  <c r="B10" i="116"/>
  <c r="C10" i="116"/>
  <c r="B11" i="116"/>
  <c r="C11" i="116"/>
  <c r="B12" i="116"/>
  <c r="C12" i="116"/>
  <c r="B13" i="116"/>
  <c r="C13" i="116"/>
  <c r="B14" i="116"/>
  <c r="C14" i="116"/>
  <c r="B15" i="116"/>
  <c r="C15" i="116"/>
  <c r="B16" i="116"/>
  <c r="C16" i="116"/>
  <c r="B17" i="116"/>
  <c r="C17" i="116"/>
  <c r="B18" i="116"/>
  <c r="C18" i="116"/>
  <c r="B19" i="116"/>
  <c r="C19" i="116"/>
  <c r="B20" i="116"/>
  <c r="C20" i="116"/>
  <c r="B21" i="116"/>
  <c r="C21" i="116"/>
  <c r="B22" i="116"/>
  <c r="C22" i="116"/>
  <c r="H37" i="116"/>
  <c r="D37" i="116" s="1"/>
  <c r="I37" i="116"/>
  <c r="H38" i="116"/>
  <c r="D38" i="116" s="1"/>
  <c r="I38" i="116"/>
  <c r="E38" i="116" s="1"/>
  <c r="I36" i="116"/>
  <c r="E36" i="116" s="1"/>
  <c r="H36" i="116"/>
  <c r="D36" i="116" s="1"/>
  <c r="D41" i="116" s="1"/>
  <c r="H8" i="116"/>
  <c r="D8" i="116" s="1"/>
  <c r="I8" i="116"/>
  <c r="E8" i="116" s="1"/>
  <c r="H9" i="116"/>
  <c r="D9" i="116" s="1"/>
  <c r="I9" i="116"/>
  <c r="E9" i="116" s="1"/>
  <c r="H10" i="116"/>
  <c r="D10" i="116" s="1"/>
  <c r="I10" i="116"/>
  <c r="H11" i="116"/>
  <c r="D11" i="116" s="1"/>
  <c r="I11" i="116"/>
  <c r="H12" i="116"/>
  <c r="D12" i="116" s="1"/>
  <c r="I12" i="116"/>
  <c r="E12" i="116" s="1"/>
  <c r="H13" i="116"/>
  <c r="D13" i="116" s="1"/>
  <c r="I13" i="116"/>
  <c r="E13" i="116" s="1"/>
  <c r="J13" i="116"/>
  <c r="H14" i="116"/>
  <c r="D14" i="116" s="1"/>
  <c r="I14" i="116"/>
  <c r="J14" i="116" s="1"/>
  <c r="H15" i="116"/>
  <c r="I15" i="116"/>
  <c r="J15" i="116" s="1"/>
  <c r="H16" i="116"/>
  <c r="I16" i="116"/>
  <c r="E16" i="116" s="1"/>
  <c r="F16" i="116" s="1"/>
  <c r="H17" i="116"/>
  <c r="D17" i="116" s="1"/>
  <c r="I17" i="116"/>
  <c r="J17" i="116" s="1"/>
  <c r="H18" i="116"/>
  <c r="D18" i="116" s="1"/>
  <c r="I18" i="116"/>
  <c r="H19" i="116"/>
  <c r="D19" i="116" s="1"/>
  <c r="I19" i="116"/>
  <c r="H20" i="116"/>
  <c r="D20" i="116" s="1"/>
  <c r="I20" i="116"/>
  <c r="E20" i="116" s="1"/>
  <c r="H21" i="116"/>
  <c r="D21" i="116" s="1"/>
  <c r="I21" i="116"/>
  <c r="J21" i="116" s="1"/>
  <c r="H22" i="116"/>
  <c r="D22" i="116" s="1"/>
  <c r="I22" i="116"/>
  <c r="I7" i="116"/>
  <c r="E7" i="116" s="1"/>
  <c r="H7" i="116"/>
  <c r="D7" i="116" s="1"/>
  <c r="J51" i="116"/>
  <c r="J50" i="116"/>
  <c r="B44" i="116"/>
  <c r="A33" i="116"/>
  <c r="C7" i="116"/>
  <c r="B7" i="116"/>
  <c r="E21" i="116" l="1"/>
  <c r="J7" i="116"/>
  <c r="D23" i="116"/>
  <c r="J22" i="116"/>
  <c r="F21" i="116"/>
  <c r="F20" i="116"/>
  <c r="F12" i="116"/>
  <c r="F8" i="116"/>
  <c r="J38" i="116"/>
  <c r="F13" i="116"/>
  <c r="F38" i="116"/>
  <c r="F9" i="116"/>
  <c r="E17" i="116"/>
  <c r="F17" i="116" s="1"/>
  <c r="J19" i="116"/>
  <c r="J18" i="116"/>
  <c r="J11" i="116"/>
  <c r="J10" i="116"/>
  <c r="J9" i="116"/>
  <c r="J37" i="116"/>
  <c r="E14" i="116"/>
  <c r="F14" i="116" s="1"/>
  <c r="E15" i="116"/>
  <c r="F15" i="116" s="1"/>
  <c r="E10" i="116"/>
  <c r="E18" i="116"/>
  <c r="F18" i="116" s="1"/>
  <c r="E11" i="116"/>
  <c r="F11" i="116" s="1"/>
  <c r="E19" i="116"/>
  <c r="F19" i="116" s="1"/>
  <c r="E22" i="116"/>
  <c r="F22" i="116" s="1"/>
  <c r="E37" i="116"/>
  <c r="E41" i="116" s="1"/>
  <c r="J36" i="116"/>
  <c r="J20" i="116"/>
  <c r="J16" i="116"/>
  <c r="J12" i="116"/>
  <c r="J8" i="116"/>
  <c r="F7" i="116"/>
  <c r="F36" i="116"/>
  <c r="J23" i="115"/>
  <c r="E23" i="115"/>
  <c r="D23" i="115"/>
  <c r="F23" i="115" s="1"/>
  <c r="J38" i="115"/>
  <c r="J37" i="115"/>
  <c r="B31" i="115"/>
  <c r="E28" i="115"/>
  <c r="A20" i="115"/>
  <c r="I9" i="115"/>
  <c r="E9" i="115" s="1"/>
  <c r="H9" i="115"/>
  <c r="C9" i="115"/>
  <c r="B9" i="115"/>
  <c r="J8" i="115"/>
  <c r="E8" i="115"/>
  <c r="D8" i="115"/>
  <c r="C8" i="115"/>
  <c r="B8" i="115"/>
  <c r="J7" i="115"/>
  <c r="E7" i="115"/>
  <c r="D7" i="115"/>
  <c r="C7" i="115"/>
  <c r="B7" i="115"/>
  <c r="E23" i="116" l="1"/>
  <c r="F41" i="116"/>
  <c r="F37" i="116"/>
  <c r="F10" i="116"/>
  <c r="F23" i="116" s="1"/>
  <c r="E10" i="115"/>
  <c r="F8" i="115"/>
  <c r="J9" i="115"/>
  <c r="D9" i="115"/>
  <c r="F9" i="115"/>
  <c r="D10" i="115"/>
  <c r="F28" i="115"/>
  <c r="F7" i="115"/>
  <c r="C40" i="114"/>
  <c r="H40" i="114"/>
  <c r="D40" i="114" s="1"/>
  <c r="I40" i="114"/>
  <c r="E40" i="114" s="1"/>
  <c r="J40" i="114"/>
  <c r="B41" i="114"/>
  <c r="C41" i="114"/>
  <c r="H41" i="114"/>
  <c r="D41" i="114" s="1"/>
  <c r="I41" i="114"/>
  <c r="E41" i="114" s="1"/>
  <c r="J41" i="114"/>
  <c r="C42" i="114"/>
  <c r="H42" i="114"/>
  <c r="D42" i="114" s="1"/>
  <c r="F42" i="114" s="1"/>
  <c r="I42" i="114"/>
  <c r="E42" i="114" s="1"/>
  <c r="B16" i="114"/>
  <c r="C16" i="114"/>
  <c r="H16" i="114"/>
  <c r="D16" i="114" s="1"/>
  <c r="I16" i="114"/>
  <c r="E16" i="114" s="1"/>
  <c r="B17" i="114"/>
  <c r="C17" i="114"/>
  <c r="H17" i="114"/>
  <c r="D17" i="114" s="1"/>
  <c r="I17" i="114"/>
  <c r="F16" i="114" l="1"/>
  <c r="J17" i="114"/>
  <c r="F10" i="115"/>
  <c r="D28" i="115"/>
  <c r="F41" i="114"/>
  <c r="F40" i="114"/>
  <c r="J42" i="114"/>
  <c r="E17" i="114"/>
  <c r="J16" i="114"/>
  <c r="F17" i="114" l="1"/>
  <c r="C12" i="114"/>
  <c r="B12" i="114"/>
  <c r="C20" i="114"/>
  <c r="B20" i="114"/>
  <c r="C9" i="114"/>
  <c r="B9" i="114"/>
  <c r="E8" i="114"/>
  <c r="D8" i="114"/>
  <c r="E7" i="114"/>
  <c r="D7" i="114"/>
  <c r="B8" i="114"/>
  <c r="C8" i="114"/>
  <c r="F8" i="114"/>
  <c r="H9" i="114"/>
  <c r="D9" i="114" s="1"/>
  <c r="I9" i="114"/>
  <c r="E9" i="114" s="1"/>
  <c r="B10" i="114"/>
  <c r="C10" i="114"/>
  <c r="H10" i="114"/>
  <c r="D10" i="114" s="1"/>
  <c r="I10" i="114"/>
  <c r="E10" i="114" s="1"/>
  <c r="B11" i="114"/>
  <c r="C11" i="114"/>
  <c r="H11" i="114"/>
  <c r="D11" i="114" s="1"/>
  <c r="I11" i="114"/>
  <c r="E11" i="114" s="1"/>
  <c r="H12" i="114"/>
  <c r="D12" i="114" s="1"/>
  <c r="I12" i="114"/>
  <c r="E12" i="114" s="1"/>
  <c r="B13" i="114"/>
  <c r="C13" i="114"/>
  <c r="H13" i="114"/>
  <c r="D13" i="114" s="1"/>
  <c r="I13" i="114"/>
  <c r="E13" i="114" s="1"/>
  <c r="B14" i="114"/>
  <c r="C14" i="114"/>
  <c r="H14" i="114"/>
  <c r="D14" i="114" s="1"/>
  <c r="I14" i="114"/>
  <c r="E14" i="114" s="1"/>
  <c r="B15" i="114"/>
  <c r="C15" i="114"/>
  <c r="H15" i="114"/>
  <c r="D15" i="114" s="1"/>
  <c r="I15" i="114"/>
  <c r="E15" i="114" s="1"/>
  <c r="B18" i="114"/>
  <c r="C18" i="114"/>
  <c r="H18" i="114"/>
  <c r="D18" i="114" s="1"/>
  <c r="I18" i="114"/>
  <c r="B19" i="114"/>
  <c r="C19" i="114"/>
  <c r="H19" i="114"/>
  <c r="D19" i="114" s="1"/>
  <c r="I19" i="114"/>
  <c r="E19" i="114" s="1"/>
  <c r="H20" i="114"/>
  <c r="D20" i="114" s="1"/>
  <c r="I20" i="114"/>
  <c r="E20" i="114" s="1"/>
  <c r="B21" i="114"/>
  <c r="C21" i="114"/>
  <c r="H21" i="114"/>
  <c r="D21" i="114" s="1"/>
  <c r="I21" i="114"/>
  <c r="E21" i="114" s="1"/>
  <c r="B22" i="114"/>
  <c r="C22" i="114"/>
  <c r="H22" i="114"/>
  <c r="D22" i="114" s="1"/>
  <c r="I22" i="114"/>
  <c r="E22" i="114" s="1"/>
  <c r="B23" i="114"/>
  <c r="C23" i="114"/>
  <c r="H23" i="114"/>
  <c r="D23" i="114" s="1"/>
  <c r="I23" i="114"/>
  <c r="E23" i="114" s="1"/>
  <c r="B24" i="114"/>
  <c r="C24" i="114"/>
  <c r="H24" i="114"/>
  <c r="D24" i="114" s="1"/>
  <c r="I24" i="114"/>
  <c r="E24" i="114" s="1"/>
  <c r="B25" i="114"/>
  <c r="C25" i="114"/>
  <c r="H25" i="114"/>
  <c r="D25" i="114" s="1"/>
  <c r="I25" i="114"/>
  <c r="E25" i="114" s="1"/>
  <c r="J54" i="114"/>
  <c r="J53" i="114"/>
  <c r="B47" i="114"/>
  <c r="I39" i="114"/>
  <c r="H39" i="114"/>
  <c r="E39" i="114"/>
  <c r="E44" i="114" s="1"/>
  <c r="C39" i="114"/>
  <c r="A36" i="114"/>
  <c r="B7" i="114"/>
  <c r="C7" i="114" s="1"/>
  <c r="D26" i="114" l="1"/>
  <c r="J21" i="114"/>
  <c r="J15" i="114"/>
  <c r="J39" i="114"/>
  <c r="F9" i="114"/>
  <c r="F20" i="114"/>
  <c r="F12" i="114"/>
  <c r="J25" i="114"/>
  <c r="J11" i="114"/>
  <c r="E18" i="114"/>
  <c r="F18" i="114" s="1"/>
  <c r="F22" i="114"/>
  <c r="J23" i="114"/>
  <c r="J19" i="114"/>
  <c r="J13" i="114"/>
  <c r="J9" i="114"/>
  <c r="F25" i="114"/>
  <c r="F21" i="114"/>
  <c r="F15" i="114"/>
  <c r="F11" i="114"/>
  <c r="F24" i="114"/>
  <c r="F23" i="114"/>
  <c r="F19" i="114"/>
  <c r="F14" i="114"/>
  <c r="F13" i="114"/>
  <c r="F10" i="114"/>
  <c r="J24" i="114"/>
  <c r="J22" i="114"/>
  <c r="J20" i="114"/>
  <c r="J18" i="114"/>
  <c r="J14" i="114"/>
  <c r="J12" i="114"/>
  <c r="J10" i="114"/>
  <c r="J8" i="114"/>
  <c r="D39" i="114"/>
  <c r="D44" i="114" s="1"/>
  <c r="I8" i="113"/>
  <c r="H8" i="113"/>
  <c r="D8" i="113" s="1"/>
  <c r="E8" i="113"/>
  <c r="C8" i="113"/>
  <c r="B8" i="113"/>
  <c r="I7" i="113"/>
  <c r="E7" i="113" s="1"/>
  <c r="H7" i="113"/>
  <c r="D7" i="113" s="1"/>
  <c r="C7" i="113"/>
  <c r="B7" i="113"/>
  <c r="J37" i="113"/>
  <c r="J36" i="113"/>
  <c r="B30" i="113"/>
  <c r="I24" i="113"/>
  <c r="E24" i="113" s="1"/>
  <c r="H24" i="113"/>
  <c r="D24" i="113" s="1"/>
  <c r="C24" i="113"/>
  <c r="I23" i="113"/>
  <c r="E23" i="113" s="1"/>
  <c r="H23" i="113"/>
  <c r="D23" i="113" s="1"/>
  <c r="C23" i="113"/>
  <c r="I22" i="113"/>
  <c r="E22" i="113" s="1"/>
  <c r="H22" i="113"/>
  <c r="D22" i="113" s="1"/>
  <c r="C22" i="113"/>
  <c r="A19" i="113"/>
  <c r="E27" i="113" l="1"/>
  <c r="E9" i="113"/>
  <c r="E26" i="114"/>
  <c r="F39" i="114"/>
  <c r="F44" i="114" s="1"/>
  <c r="F22" i="113"/>
  <c r="F7" i="113"/>
  <c r="F23" i="113"/>
  <c r="F24" i="113"/>
  <c r="J7" i="113"/>
  <c r="F8" i="113"/>
  <c r="J8" i="113"/>
  <c r="F9" i="113"/>
  <c r="D9" i="113"/>
  <c r="J22" i="113"/>
  <c r="J23" i="113"/>
  <c r="J24" i="113"/>
  <c r="C33" i="112"/>
  <c r="H33" i="112"/>
  <c r="D33" i="112" s="1"/>
  <c r="I33" i="112"/>
  <c r="E33" i="112" s="1"/>
  <c r="I12" i="112"/>
  <c r="E12" i="112" s="1"/>
  <c r="H12" i="112"/>
  <c r="D12" i="112" s="1"/>
  <c r="B12" i="112"/>
  <c r="C12" i="112"/>
  <c r="I10" i="112"/>
  <c r="E10" i="112" s="1"/>
  <c r="H10" i="112"/>
  <c r="D10" i="112" s="1"/>
  <c r="J55" i="112"/>
  <c r="J54" i="112"/>
  <c r="B48" i="112"/>
  <c r="I42" i="112"/>
  <c r="E42" i="112" s="1"/>
  <c r="H42" i="112"/>
  <c r="C42" i="112"/>
  <c r="I41" i="112"/>
  <c r="E41" i="112" s="1"/>
  <c r="H41" i="112"/>
  <c r="D41" i="112" s="1"/>
  <c r="C41" i="112"/>
  <c r="I40" i="112"/>
  <c r="E40" i="112" s="1"/>
  <c r="H40" i="112"/>
  <c r="D40" i="112" s="1"/>
  <c r="C40" i="112"/>
  <c r="I39" i="112"/>
  <c r="E39" i="112" s="1"/>
  <c r="H39" i="112"/>
  <c r="D39" i="112" s="1"/>
  <c r="C39" i="112"/>
  <c r="I43" i="112"/>
  <c r="E43" i="112" s="1"/>
  <c r="H43" i="112"/>
  <c r="D43" i="112" s="1"/>
  <c r="C43" i="112"/>
  <c r="I37" i="112"/>
  <c r="E37" i="112" s="1"/>
  <c r="H37" i="112"/>
  <c r="D37" i="112" s="1"/>
  <c r="C37" i="112"/>
  <c r="I38" i="112"/>
  <c r="E38" i="112" s="1"/>
  <c r="H38" i="112"/>
  <c r="D38" i="112" s="1"/>
  <c r="C38" i="112"/>
  <c r="I36" i="112"/>
  <c r="E36" i="112" s="1"/>
  <c r="H36" i="112"/>
  <c r="D36" i="112" s="1"/>
  <c r="C36" i="112"/>
  <c r="I35" i="112"/>
  <c r="E35" i="112" s="1"/>
  <c r="H35" i="112"/>
  <c r="D35" i="112" s="1"/>
  <c r="C35" i="112"/>
  <c r="B35" i="112"/>
  <c r="I34" i="112"/>
  <c r="E34" i="112" s="1"/>
  <c r="H34" i="112"/>
  <c r="D34" i="112" s="1"/>
  <c r="C34" i="112"/>
  <c r="I32" i="112"/>
  <c r="E32" i="112" s="1"/>
  <c r="H32" i="112"/>
  <c r="D32" i="112" s="1"/>
  <c r="C32" i="112"/>
  <c r="I31" i="112"/>
  <c r="E31" i="112" s="1"/>
  <c r="H31" i="112"/>
  <c r="D31" i="112" s="1"/>
  <c r="C31" i="112"/>
  <c r="I30" i="112"/>
  <c r="E30" i="112" s="1"/>
  <c r="H30" i="112"/>
  <c r="D30" i="112" s="1"/>
  <c r="C30" i="112"/>
  <c r="B30" i="112"/>
  <c r="I29" i="112"/>
  <c r="E29" i="112" s="1"/>
  <c r="H29" i="112"/>
  <c r="D29" i="112" s="1"/>
  <c r="C29" i="112"/>
  <c r="B29" i="112"/>
  <c r="I28" i="112"/>
  <c r="E28" i="112" s="1"/>
  <c r="H28" i="112"/>
  <c r="D28" i="112" s="1"/>
  <c r="C28" i="112"/>
  <c r="I27" i="112"/>
  <c r="E27" i="112" s="1"/>
  <c r="H27" i="112"/>
  <c r="D27" i="112" s="1"/>
  <c r="C27" i="112"/>
  <c r="I26" i="112"/>
  <c r="E26" i="112" s="1"/>
  <c r="H26" i="112"/>
  <c r="D26" i="112" s="1"/>
  <c r="C26" i="112"/>
  <c r="A23" i="112"/>
  <c r="I11" i="112"/>
  <c r="E11" i="112" s="1"/>
  <c r="H11" i="112"/>
  <c r="D11" i="112" s="1"/>
  <c r="C11" i="112"/>
  <c r="B11" i="112"/>
  <c r="C10" i="112"/>
  <c r="B10" i="112"/>
  <c r="I9" i="112"/>
  <c r="H9" i="112"/>
  <c r="D9" i="112" s="1"/>
  <c r="E9" i="112"/>
  <c r="C9" i="112"/>
  <c r="B9" i="112"/>
  <c r="I8" i="112"/>
  <c r="E8" i="112" s="1"/>
  <c r="H8" i="112"/>
  <c r="D8" i="112" s="1"/>
  <c r="C8" i="112"/>
  <c r="B8" i="112"/>
  <c r="I7" i="112"/>
  <c r="H7" i="112"/>
  <c r="D7" i="112" s="1"/>
  <c r="E7" i="112"/>
  <c r="C7" i="112"/>
  <c r="B7" i="112"/>
  <c r="F12" i="112" l="1"/>
  <c r="D27" i="113"/>
  <c r="F27" i="113"/>
  <c r="D42" i="112"/>
  <c r="F42" i="112" s="1"/>
  <c r="F38" i="112"/>
  <c r="F33" i="112"/>
  <c r="J33" i="112"/>
  <c r="F32" i="112"/>
  <c r="F43" i="112"/>
  <c r="J12" i="112"/>
  <c r="F27" i="112"/>
  <c r="F39" i="112"/>
  <c r="E13" i="112"/>
  <c r="F10" i="112"/>
  <c r="F11" i="112"/>
  <c r="F35" i="112"/>
  <c r="F8" i="112"/>
  <c r="F7" i="112"/>
  <c r="J7" i="112"/>
  <c r="J8" i="112"/>
  <c r="F9" i="112"/>
  <c r="J10" i="112"/>
  <c r="J11" i="112"/>
  <c r="E45" i="112"/>
  <c r="D13" i="112"/>
  <c r="J9" i="112"/>
  <c r="F26" i="112"/>
  <c r="J26" i="112"/>
  <c r="J27" i="112"/>
  <c r="F28" i="112"/>
  <c r="J28" i="112"/>
  <c r="F29" i="112"/>
  <c r="J29" i="112"/>
  <c r="F30" i="112"/>
  <c r="J30" i="112"/>
  <c r="F31" i="112"/>
  <c r="J31" i="112"/>
  <c r="J32" i="112"/>
  <c r="F34" i="112"/>
  <c r="J34" i="112"/>
  <c r="J35" i="112"/>
  <c r="F36" i="112"/>
  <c r="J36" i="112"/>
  <c r="J38" i="112"/>
  <c r="F37" i="112"/>
  <c r="J37" i="112"/>
  <c r="J43" i="112"/>
  <c r="J39" i="112"/>
  <c r="F40" i="112"/>
  <c r="J40" i="112"/>
  <c r="F41" i="112"/>
  <c r="J41" i="112"/>
  <c r="J42" i="112"/>
  <c r="D45" i="112"/>
  <c r="H8" i="111"/>
  <c r="D8" i="111" s="1"/>
  <c r="I8" i="111"/>
  <c r="H9" i="111"/>
  <c r="D9" i="111" s="1"/>
  <c r="I9" i="111"/>
  <c r="H10" i="111"/>
  <c r="D10" i="111" s="1"/>
  <c r="F10" i="111" s="1"/>
  <c r="I10" i="111"/>
  <c r="E10" i="111" s="1"/>
  <c r="J10" i="111"/>
  <c r="H11" i="111"/>
  <c r="D11" i="111" s="1"/>
  <c r="I11" i="111"/>
  <c r="J11" i="111" s="1"/>
  <c r="H12" i="111"/>
  <c r="D12" i="111" s="1"/>
  <c r="I12" i="111"/>
  <c r="E12" i="111" s="1"/>
  <c r="H13" i="111"/>
  <c r="D13" i="111" s="1"/>
  <c r="I13" i="111"/>
  <c r="H14" i="111"/>
  <c r="D14" i="111" s="1"/>
  <c r="I14" i="111"/>
  <c r="E14" i="111" s="1"/>
  <c r="H15" i="111"/>
  <c r="D15" i="111" s="1"/>
  <c r="I15" i="111"/>
  <c r="H16" i="111"/>
  <c r="D16" i="111" s="1"/>
  <c r="I16" i="111"/>
  <c r="E16" i="111" s="1"/>
  <c r="H17" i="111"/>
  <c r="D17" i="111" s="1"/>
  <c r="I17" i="111"/>
  <c r="E17" i="111" s="1"/>
  <c r="I7" i="111"/>
  <c r="E7" i="111" s="1"/>
  <c r="H7" i="111"/>
  <c r="D7" i="111" s="1"/>
  <c r="J51" i="111"/>
  <c r="J50" i="111"/>
  <c r="B44" i="111"/>
  <c r="I39" i="111"/>
  <c r="E39" i="111" s="1"/>
  <c r="H39" i="111"/>
  <c r="D39" i="111" s="1"/>
  <c r="C39" i="111"/>
  <c r="I38" i="111"/>
  <c r="E38" i="111" s="1"/>
  <c r="H38" i="111"/>
  <c r="D38" i="111" s="1"/>
  <c r="F38" i="111" s="1"/>
  <c r="C38" i="111"/>
  <c r="I37" i="111"/>
  <c r="E37" i="111" s="1"/>
  <c r="H37" i="111"/>
  <c r="D37" i="111" s="1"/>
  <c r="C37" i="111"/>
  <c r="I36" i="111"/>
  <c r="E36" i="111" s="1"/>
  <c r="H36" i="111"/>
  <c r="D36" i="111" s="1"/>
  <c r="F36" i="111" s="1"/>
  <c r="C36" i="111"/>
  <c r="I35" i="111"/>
  <c r="E35" i="111" s="1"/>
  <c r="H35" i="111"/>
  <c r="D35" i="111" s="1"/>
  <c r="C35" i="111"/>
  <c r="I34" i="111"/>
  <c r="E34" i="111" s="1"/>
  <c r="H34" i="111"/>
  <c r="D34" i="111" s="1"/>
  <c r="F34" i="111" s="1"/>
  <c r="C34" i="111"/>
  <c r="B34" i="111"/>
  <c r="I33" i="111"/>
  <c r="E33" i="111" s="1"/>
  <c r="H33" i="111"/>
  <c r="D33" i="111" s="1"/>
  <c r="C33" i="111"/>
  <c r="B33" i="111"/>
  <c r="I32" i="111"/>
  <c r="E32" i="111" s="1"/>
  <c r="H32" i="111"/>
  <c r="D32" i="111" s="1"/>
  <c r="C32" i="111"/>
  <c r="A29" i="111"/>
  <c r="C17" i="111"/>
  <c r="B17" i="111"/>
  <c r="C16" i="111"/>
  <c r="B16" i="111"/>
  <c r="C15" i="111"/>
  <c r="B15" i="111"/>
  <c r="C14" i="111"/>
  <c r="B14" i="111"/>
  <c r="C13" i="111"/>
  <c r="B13" i="111"/>
  <c r="C12" i="111"/>
  <c r="B12" i="111"/>
  <c r="C11" i="111"/>
  <c r="B11" i="111"/>
  <c r="C10" i="111"/>
  <c r="B10" i="111"/>
  <c r="C9" i="111"/>
  <c r="B9" i="111"/>
  <c r="C8" i="111"/>
  <c r="B8" i="111"/>
  <c r="C7" i="111"/>
  <c r="B7" i="111"/>
  <c r="F33" i="111" l="1"/>
  <c r="F35" i="111"/>
  <c r="F37" i="111"/>
  <c r="F39" i="111"/>
  <c r="J15" i="111"/>
  <c r="J14" i="111"/>
  <c r="J8" i="111"/>
  <c r="F17" i="111"/>
  <c r="F13" i="112"/>
  <c r="F45" i="112"/>
  <c r="F14" i="111"/>
  <c r="F7" i="111"/>
  <c r="F12" i="111"/>
  <c r="F16" i="111"/>
  <c r="E8" i="111"/>
  <c r="J17" i="111"/>
  <c r="J16" i="111"/>
  <c r="J13" i="111"/>
  <c r="J12" i="111"/>
  <c r="J9" i="111"/>
  <c r="E9" i="111"/>
  <c r="F9" i="111" s="1"/>
  <c r="E11" i="111"/>
  <c r="F11" i="111" s="1"/>
  <c r="E13" i="111"/>
  <c r="F13" i="111" s="1"/>
  <c r="E15" i="111"/>
  <c r="F15" i="111" s="1"/>
  <c r="J32" i="111"/>
  <c r="J36" i="111"/>
  <c r="E41" i="111"/>
  <c r="J34" i="111"/>
  <c r="J38" i="111"/>
  <c r="D19" i="111"/>
  <c r="J7" i="111"/>
  <c r="J33" i="111"/>
  <c r="J35" i="111"/>
  <c r="J37" i="111"/>
  <c r="J39" i="111"/>
  <c r="F32" i="111"/>
  <c r="I7" i="110"/>
  <c r="H7" i="110"/>
  <c r="C39" i="110"/>
  <c r="H39" i="110"/>
  <c r="D39" i="110" s="1"/>
  <c r="I39" i="110"/>
  <c r="E39" i="110" s="1"/>
  <c r="C40" i="110"/>
  <c r="H40" i="110"/>
  <c r="D40" i="110" s="1"/>
  <c r="I40" i="110"/>
  <c r="E40" i="110" s="1"/>
  <c r="B41" i="110"/>
  <c r="C41" i="110"/>
  <c r="H41" i="110"/>
  <c r="D41" i="110" s="1"/>
  <c r="I41" i="110"/>
  <c r="J41" i="110" s="1"/>
  <c r="B42" i="110"/>
  <c r="C42" i="110"/>
  <c r="H42" i="110"/>
  <c r="D42" i="110" s="1"/>
  <c r="I42" i="110"/>
  <c r="E42" i="110" s="1"/>
  <c r="B43" i="110"/>
  <c r="C43" i="110"/>
  <c r="H43" i="110"/>
  <c r="D43" i="110" s="1"/>
  <c r="I43" i="110"/>
  <c r="E43" i="110" s="1"/>
  <c r="B44" i="110"/>
  <c r="C44" i="110"/>
  <c r="H44" i="110"/>
  <c r="D44" i="110" s="1"/>
  <c r="I44" i="110"/>
  <c r="E44" i="110" s="1"/>
  <c r="B45" i="110"/>
  <c r="C45" i="110"/>
  <c r="H45" i="110"/>
  <c r="D45" i="110" s="1"/>
  <c r="I45" i="110"/>
  <c r="E45" i="110" s="1"/>
  <c r="C46" i="110"/>
  <c r="H46" i="110"/>
  <c r="D46" i="110" s="1"/>
  <c r="I46" i="110"/>
  <c r="E46" i="110" s="1"/>
  <c r="C47" i="110"/>
  <c r="H47" i="110"/>
  <c r="D47" i="110" s="1"/>
  <c r="I47" i="110"/>
  <c r="E47" i="110" s="1"/>
  <c r="C48" i="110"/>
  <c r="H48" i="110"/>
  <c r="D48" i="110" s="1"/>
  <c r="I48" i="110"/>
  <c r="E48" i="110" s="1"/>
  <c r="B49" i="110"/>
  <c r="C49" i="110"/>
  <c r="H49" i="110"/>
  <c r="D49" i="110" s="1"/>
  <c r="I49" i="110"/>
  <c r="J49" i="110" s="1"/>
  <c r="C50" i="110"/>
  <c r="H50" i="110"/>
  <c r="D50" i="110" s="1"/>
  <c r="I50" i="110"/>
  <c r="E50" i="110" s="1"/>
  <c r="B51" i="110"/>
  <c r="C51" i="110"/>
  <c r="H51" i="110"/>
  <c r="D51" i="110" s="1"/>
  <c r="I51" i="110"/>
  <c r="E51" i="110" s="1"/>
  <c r="C52" i="110"/>
  <c r="H52" i="110"/>
  <c r="D52" i="110" s="1"/>
  <c r="I52" i="110"/>
  <c r="E52" i="110" s="1"/>
  <c r="B53" i="110"/>
  <c r="C53" i="110"/>
  <c r="H53" i="110"/>
  <c r="D53" i="110" s="1"/>
  <c r="I53" i="110"/>
  <c r="E53" i="110" s="1"/>
  <c r="J53" i="110"/>
  <c r="B54" i="110"/>
  <c r="C54" i="110"/>
  <c r="H54" i="110"/>
  <c r="D54" i="110" s="1"/>
  <c r="I54" i="110"/>
  <c r="E54" i="110" s="1"/>
  <c r="C55" i="110"/>
  <c r="H55" i="110"/>
  <c r="D55" i="110" s="1"/>
  <c r="I55" i="110"/>
  <c r="C56" i="110"/>
  <c r="H56" i="110"/>
  <c r="D56" i="110" s="1"/>
  <c r="I56" i="110"/>
  <c r="E56" i="110" s="1"/>
  <c r="C57" i="110"/>
  <c r="H57" i="110"/>
  <c r="D57" i="110" s="1"/>
  <c r="I57" i="110"/>
  <c r="C58" i="110"/>
  <c r="H58" i="110"/>
  <c r="D58" i="110" s="1"/>
  <c r="I58" i="110"/>
  <c r="C59" i="110"/>
  <c r="H59" i="110"/>
  <c r="D59" i="110" s="1"/>
  <c r="I59" i="110"/>
  <c r="E59" i="110" s="1"/>
  <c r="B60" i="110"/>
  <c r="C60" i="110"/>
  <c r="H60" i="110"/>
  <c r="D60" i="110" s="1"/>
  <c r="I60" i="110"/>
  <c r="E60" i="110" s="1"/>
  <c r="B61" i="110"/>
  <c r="C61" i="110"/>
  <c r="H61" i="110"/>
  <c r="D61" i="110" s="1"/>
  <c r="I61" i="110"/>
  <c r="E61" i="110" s="1"/>
  <c r="J61" i="110"/>
  <c r="B62" i="110"/>
  <c r="C62" i="110"/>
  <c r="H62" i="110"/>
  <c r="D62" i="110" s="1"/>
  <c r="I62" i="110"/>
  <c r="E62" i="110" s="1"/>
  <c r="B63" i="110"/>
  <c r="C63" i="110"/>
  <c r="H63" i="110"/>
  <c r="D63" i="110" s="1"/>
  <c r="I63" i="110"/>
  <c r="E63" i="110" s="1"/>
  <c r="I38" i="110"/>
  <c r="E38" i="110" s="1"/>
  <c r="H38" i="110"/>
  <c r="D38" i="110" s="1"/>
  <c r="B8" i="110"/>
  <c r="C8" i="110"/>
  <c r="B9" i="110"/>
  <c r="C9" i="110"/>
  <c r="B10" i="110"/>
  <c r="C10" i="110"/>
  <c r="B11" i="110"/>
  <c r="C11" i="110"/>
  <c r="B12" i="110"/>
  <c r="C12" i="110"/>
  <c r="B13" i="110"/>
  <c r="C13" i="110"/>
  <c r="B14" i="110"/>
  <c r="C14" i="110"/>
  <c r="B15" i="110"/>
  <c r="C15" i="110"/>
  <c r="B16" i="110"/>
  <c r="C16" i="110"/>
  <c r="B17" i="110"/>
  <c r="C17" i="110"/>
  <c r="B18" i="110"/>
  <c r="C18" i="110"/>
  <c r="B19" i="110"/>
  <c r="C19" i="110"/>
  <c r="B20" i="110"/>
  <c r="C20" i="110"/>
  <c r="B21" i="110"/>
  <c r="C21" i="110"/>
  <c r="B22" i="110"/>
  <c r="C22" i="110"/>
  <c r="B23" i="110"/>
  <c r="C23" i="110"/>
  <c r="H8" i="110"/>
  <c r="D8" i="110" s="1"/>
  <c r="I8" i="110"/>
  <c r="E8" i="110" s="1"/>
  <c r="H9" i="110"/>
  <c r="D9" i="110" s="1"/>
  <c r="I9" i="110"/>
  <c r="E9" i="110" s="1"/>
  <c r="H10" i="110"/>
  <c r="D10" i="110" s="1"/>
  <c r="I10" i="110"/>
  <c r="H11" i="110"/>
  <c r="D11" i="110" s="1"/>
  <c r="I11" i="110"/>
  <c r="E11" i="110" s="1"/>
  <c r="H12" i="110"/>
  <c r="D12" i="110" s="1"/>
  <c r="I12" i="110"/>
  <c r="H13" i="110"/>
  <c r="D13" i="110" s="1"/>
  <c r="I13" i="110"/>
  <c r="E13" i="110" s="1"/>
  <c r="H14" i="110"/>
  <c r="D14" i="110" s="1"/>
  <c r="I14" i="110"/>
  <c r="H15" i="110"/>
  <c r="I15" i="110"/>
  <c r="E15" i="110" s="1"/>
  <c r="H16" i="110"/>
  <c r="D16" i="110" s="1"/>
  <c r="I16" i="110"/>
  <c r="H17" i="110"/>
  <c r="I17" i="110"/>
  <c r="E17" i="110" s="1"/>
  <c r="J17" i="110"/>
  <c r="H18" i="110"/>
  <c r="D18" i="110" s="1"/>
  <c r="I18" i="110"/>
  <c r="J18" i="110" s="1"/>
  <c r="H19" i="110"/>
  <c r="D19" i="110" s="1"/>
  <c r="I19" i="110"/>
  <c r="E19" i="110" s="1"/>
  <c r="H20" i="110"/>
  <c r="D20" i="110" s="1"/>
  <c r="I20" i="110"/>
  <c r="E20" i="110" s="1"/>
  <c r="H21" i="110"/>
  <c r="D21" i="110" s="1"/>
  <c r="I21" i="110"/>
  <c r="J21" i="110" s="1"/>
  <c r="H22" i="110"/>
  <c r="D22" i="110" s="1"/>
  <c r="I22" i="110"/>
  <c r="H23" i="110"/>
  <c r="I23" i="110"/>
  <c r="E23" i="110" s="1"/>
  <c r="J75" i="110"/>
  <c r="J74" i="110"/>
  <c r="B68" i="110"/>
  <c r="C38" i="110"/>
  <c r="A35" i="110"/>
  <c r="E7" i="110"/>
  <c r="D7" i="110"/>
  <c r="C7" i="110"/>
  <c r="B7" i="110"/>
  <c r="J45" i="110" l="1"/>
  <c r="J57" i="110"/>
  <c r="D65" i="110"/>
  <c r="F58" i="110"/>
  <c r="E58" i="110"/>
  <c r="E41" i="110"/>
  <c r="E49" i="110"/>
  <c r="E57" i="110"/>
  <c r="E19" i="111"/>
  <c r="J10" i="110"/>
  <c r="J9" i="110"/>
  <c r="F9" i="110"/>
  <c r="F62" i="110"/>
  <c r="F54" i="110"/>
  <c r="F46" i="110"/>
  <c r="J7" i="110"/>
  <c r="F8" i="111"/>
  <c r="F41" i="111"/>
  <c r="F19" i="111"/>
  <c r="D41" i="111"/>
  <c r="F42" i="110"/>
  <c r="F50" i="110"/>
  <c r="E21" i="110"/>
  <c r="F21" i="110" s="1"/>
  <c r="J22" i="110"/>
  <c r="J14" i="110"/>
  <c r="J13" i="110"/>
  <c r="J38" i="110"/>
  <c r="J63" i="110"/>
  <c r="J59" i="110"/>
  <c r="J55" i="110"/>
  <c r="J51" i="110"/>
  <c r="J47" i="110"/>
  <c r="J43" i="110"/>
  <c r="J39" i="110"/>
  <c r="E18" i="110"/>
  <c r="E14" i="110"/>
  <c r="D17" i="110"/>
  <c r="F17" i="110" s="1"/>
  <c r="D23" i="110"/>
  <c r="F23" i="110" s="1"/>
  <c r="D15" i="110"/>
  <c r="F19" i="110"/>
  <c r="F13" i="110"/>
  <c r="F11" i="110"/>
  <c r="J23" i="110"/>
  <c r="J20" i="110"/>
  <c r="J19" i="110"/>
  <c r="J16" i="110"/>
  <c r="J15" i="110"/>
  <c r="J12" i="110"/>
  <c r="J11" i="110"/>
  <c r="J8" i="110"/>
  <c r="F61" i="110"/>
  <c r="F57" i="110"/>
  <c r="E55" i="110"/>
  <c r="F53" i="110"/>
  <c r="F49" i="110"/>
  <c r="F45" i="110"/>
  <c r="E22" i="110"/>
  <c r="F22" i="110" s="1"/>
  <c r="F20" i="110"/>
  <c r="F18" i="110"/>
  <c r="E16" i="110"/>
  <c r="F16" i="110" s="1"/>
  <c r="F14" i="110"/>
  <c r="E12" i="110"/>
  <c r="F12" i="110" s="1"/>
  <c r="E10" i="110"/>
  <c r="F10" i="110" s="1"/>
  <c r="F8" i="110"/>
  <c r="F63" i="110"/>
  <c r="F60" i="110"/>
  <c r="F59" i="110"/>
  <c r="F56" i="110"/>
  <c r="F55" i="110"/>
  <c r="F52" i="110"/>
  <c r="F51" i="110"/>
  <c r="F48" i="110"/>
  <c r="F47" i="110"/>
  <c r="F44" i="110"/>
  <c r="F43" i="110"/>
  <c r="F40" i="110"/>
  <c r="F39" i="110"/>
  <c r="J62" i="110"/>
  <c r="J60" i="110"/>
  <c r="J58" i="110"/>
  <c r="J56" i="110"/>
  <c r="J54" i="110"/>
  <c r="J52" i="110"/>
  <c r="J50" i="110"/>
  <c r="J48" i="110"/>
  <c r="J46" i="110"/>
  <c r="J44" i="110"/>
  <c r="J42" i="110"/>
  <c r="J40" i="110"/>
  <c r="F38" i="110"/>
  <c r="F7" i="110"/>
  <c r="I34" i="109"/>
  <c r="E34" i="109" s="1"/>
  <c r="H34" i="109"/>
  <c r="C34" i="109"/>
  <c r="I33" i="109"/>
  <c r="E33" i="109" s="1"/>
  <c r="H33" i="109"/>
  <c r="C33" i="109"/>
  <c r="I37" i="109"/>
  <c r="H37" i="109"/>
  <c r="D37" i="109" s="1"/>
  <c r="E37" i="109"/>
  <c r="C37" i="109"/>
  <c r="I36" i="109"/>
  <c r="E36" i="109" s="1"/>
  <c r="H36" i="109"/>
  <c r="C36" i="109"/>
  <c r="I35" i="109"/>
  <c r="E35" i="109" s="1"/>
  <c r="H35" i="109"/>
  <c r="C35" i="109"/>
  <c r="B35" i="109"/>
  <c r="I32" i="109"/>
  <c r="E32" i="109" s="1"/>
  <c r="H32" i="109"/>
  <c r="C32" i="109"/>
  <c r="I31" i="109"/>
  <c r="H31" i="109"/>
  <c r="D31" i="109" s="1"/>
  <c r="E31" i="109"/>
  <c r="C31" i="109"/>
  <c r="I30" i="109"/>
  <c r="E30" i="109" s="1"/>
  <c r="H30" i="109"/>
  <c r="D30" i="109" s="1"/>
  <c r="C30" i="109"/>
  <c r="I7" i="109"/>
  <c r="E7" i="109" s="1"/>
  <c r="H7" i="109"/>
  <c r="D7" i="109" s="1"/>
  <c r="H8" i="109"/>
  <c r="I8" i="109"/>
  <c r="E8" i="109" s="1"/>
  <c r="D8" i="109"/>
  <c r="J51" i="109"/>
  <c r="J50" i="109"/>
  <c r="B44" i="109"/>
  <c r="A27" i="109"/>
  <c r="C7" i="109"/>
  <c r="B7" i="109"/>
  <c r="E65" i="110" l="1"/>
  <c r="E41" i="109"/>
  <c r="F41" i="110"/>
  <c r="F65" i="110" s="1"/>
  <c r="D25" i="110"/>
  <c r="E25" i="110"/>
  <c r="F15" i="110"/>
  <c r="F25" i="110" s="1"/>
  <c r="F35" i="109"/>
  <c r="J32" i="109"/>
  <c r="J34" i="109"/>
  <c r="D35" i="109"/>
  <c r="F8" i="109"/>
  <c r="J30" i="109"/>
  <c r="F31" i="109"/>
  <c r="J36" i="109"/>
  <c r="F37" i="109"/>
  <c r="J33" i="109"/>
  <c r="J8" i="109"/>
  <c r="F30" i="109"/>
  <c r="D32" i="109"/>
  <c r="F32" i="109" s="1"/>
  <c r="D36" i="109"/>
  <c r="F36" i="109" s="1"/>
  <c r="D33" i="109"/>
  <c r="F33" i="109" s="1"/>
  <c r="D34" i="109"/>
  <c r="F34" i="109" s="1"/>
  <c r="J31" i="109"/>
  <c r="J35" i="109"/>
  <c r="J37" i="109"/>
  <c r="E17" i="109"/>
  <c r="F7" i="109"/>
  <c r="F17" i="109" s="1"/>
  <c r="D17" i="109"/>
  <c r="J7" i="109"/>
  <c r="E31" i="108"/>
  <c r="D31" i="108"/>
  <c r="E30" i="108"/>
  <c r="F30" i="108" s="1"/>
  <c r="D30" i="108"/>
  <c r="D33" i="108" s="1"/>
  <c r="F31" i="108"/>
  <c r="J31" i="108"/>
  <c r="J30" i="108"/>
  <c r="I11" i="108"/>
  <c r="E11" i="108" s="1"/>
  <c r="H11" i="108"/>
  <c r="D11" i="108" s="1"/>
  <c r="I10" i="108"/>
  <c r="E10" i="108" s="1"/>
  <c r="H10" i="108"/>
  <c r="I9" i="108"/>
  <c r="E9" i="108" s="1"/>
  <c r="H9" i="108"/>
  <c r="D9" i="108" s="1"/>
  <c r="C9" i="108"/>
  <c r="B9" i="108"/>
  <c r="J43" i="108"/>
  <c r="J42" i="108"/>
  <c r="B36" i="108"/>
  <c r="A27" i="108"/>
  <c r="I12" i="108"/>
  <c r="E12" i="108" s="1"/>
  <c r="H12" i="108"/>
  <c r="D12" i="108" s="1"/>
  <c r="C12" i="108"/>
  <c r="B12" i="108"/>
  <c r="I8" i="108"/>
  <c r="E8" i="108" s="1"/>
  <c r="H8" i="108"/>
  <c r="D8" i="108" s="1"/>
  <c r="C8" i="108"/>
  <c r="B8" i="108"/>
  <c r="I7" i="108"/>
  <c r="H7" i="108"/>
  <c r="D7" i="108" s="1"/>
  <c r="E7" i="108"/>
  <c r="C7" i="108"/>
  <c r="B7" i="108"/>
  <c r="F33" i="108" l="1"/>
  <c r="D10" i="108"/>
  <c r="F10" i="108" s="1"/>
  <c r="E33" i="108"/>
  <c r="F41" i="109"/>
  <c r="D41" i="109"/>
  <c r="F11" i="108"/>
  <c r="F9" i="108"/>
  <c r="J11" i="108"/>
  <c r="J10" i="108"/>
  <c r="E17" i="108"/>
  <c r="F8" i="108"/>
  <c r="F12" i="108"/>
  <c r="J9" i="108"/>
  <c r="F7" i="108"/>
  <c r="J8" i="108"/>
  <c r="J12" i="108"/>
  <c r="J7" i="108"/>
  <c r="J55" i="107"/>
  <c r="J54" i="107"/>
  <c r="B48" i="107"/>
  <c r="I43" i="107"/>
  <c r="H43" i="107"/>
  <c r="D43" i="107" s="1"/>
  <c r="E43" i="107"/>
  <c r="C43" i="107"/>
  <c r="I42" i="107"/>
  <c r="E42" i="107" s="1"/>
  <c r="H42" i="107"/>
  <c r="C42" i="107"/>
  <c r="I41" i="107"/>
  <c r="H41" i="107"/>
  <c r="D41" i="107" s="1"/>
  <c r="E41" i="107"/>
  <c r="C41" i="107"/>
  <c r="I40" i="107"/>
  <c r="E40" i="107" s="1"/>
  <c r="H40" i="107"/>
  <c r="J40" i="107" s="1"/>
  <c r="C40" i="107"/>
  <c r="I39" i="107"/>
  <c r="H39" i="107"/>
  <c r="D39" i="107" s="1"/>
  <c r="E39" i="107"/>
  <c r="C39" i="107"/>
  <c r="I38" i="107"/>
  <c r="E38" i="107" s="1"/>
  <c r="H38" i="107"/>
  <c r="D38" i="107"/>
  <c r="F38" i="107" s="1"/>
  <c r="C38" i="107"/>
  <c r="I37" i="107"/>
  <c r="H37" i="107"/>
  <c r="D37" i="107" s="1"/>
  <c r="E37" i="107"/>
  <c r="C37" i="107"/>
  <c r="I36" i="107"/>
  <c r="E36" i="107" s="1"/>
  <c r="H36" i="107"/>
  <c r="D36" i="107"/>
  <c r="F36" i="107" s="1"/>
  <c r="C36" i="107"/>
  <c r="I35" i="107"/>
  <c r="E35" i="107" s="1"/>
  <c r="H35" i="107"/>
  <c r="D35" i="107" s="1"/>
  <c r="C35" i="107"/>
  <c r="A31" i="107"/>
  <c r="E21" i="107"/>
  <c r="E45" i="107" l="1"/>
  <c r="F41" i="107"/>
  <c r="J42" i="107"/>
  <c r="F43" i="107"/>
  <c r="J36" i="107"/>
  <c r="F37" i="107"/>
  <c r="J38" i="107"/>
  <c r="F39" i="107"/>
  <c r="D42" i="107"/>
  <c r="F42" i="107" s="1"/>
  <c r="D40" i="107"/>
  <c r="F40" i="107" s="1"/>
  <c r="D17" i="108"/>
  <c r="F17" i="108"/>
  <c r="F35" i="107"/>
  <c r="D21" i="107"/>
  <c r="F21" i="107"/>
  <c r="J35" i="107"/>
  <c r="J37" i="107"/>
  <c r="J39" i="107"/>
  <c r="J41" i="107"/>
  <c r="J43" i="107"/>
  <c r="I41" i="106"/>
  <c r="H41" i="106"/>
  <c r="D41" i="106" s="1"/>
  <c r="E41" i="106"/>
  <c r="C41" i="106"/>
  <c r="I39" i="106"/>
  <c r="E39" i="106" s="1"/>
  <c r="H39" i="106"/>
  <c r="C39" i="106"/>
  <c r="I38" i="106"/>
  <c r="H38" i="106"/>
  <c r="D38" i="106" s="1"/>
  <c r="E38" i="106"/>
  <c r="C38" i="106"/>
  <c r="I37" i="106"/>
  <c r="H37" i="106"/>
  <c r="D37" i="106" s="1"/>
  <c r="E37" i="106"/>
  <c r="C37" i="106"/>
  <c r="I36" i="106"/>
  <c r="E36" i="106" s="1"/>
  <c r="H36" i="106"/>
  <c r="C36" i="106"/>
  <c r="I19" i="106"/>
  <c r="E19" i="106" s="1"/>
  <c r="H19" i="106"/>
  <c r="C19" i="106"/>
  <c r="B19" i="106"/>
  <c r="I8" i="106"/>
  <c r="E8" i="106" s="1"/>
  <c r="B8" i="106"/>
  <c r="C8" i="106"/>
  <c r="B9" i="106"/>
  <c r="C9" i="106"/>
  <c r="B10" i="106"/>
  <c r="C10" i="106"/>
  <c r="B11" i="106"/>
  <c r="C11" i="106"/>
  <c r="B12" i="106"/>
  <c r="C12" i="106"/>
  <c r="B13" i="106"/>
  <c r="C13" i="106"/>
  <c r="B14" i="106"/>
  <c r="C14" i="106"/>
  <c r="B15" i="106"/>
  <c r="C15" i="106"/>
  <c r="B16" i="106"/>
  <c r="C16" i="106"/>
  <c r="B17" i="106"/>
  <c r="C17" i="106"/>
  <c r="B18" i="106"/>
  <c r="C18" i="106"/>
  <c r="H8" i="106"/>
  <c r="D8" i="106" s="1"/>
  <c r="H9" i="106"/>
  <c r="D9" i="106" s="1"/>
  <c r="I9" i="106"/>
  <c r="E9" i="106" s="1"/>
  <c r="H10" i="106"/>
  <c r="D10" i="106" s="1"/>
  <c r="I10" i="106"/>
  <c r="H11" i="106"/>
  <c r="D11" i="106" s="1"/>
  <c r="I11" i="106"/>
  <c r="E11" i="106" s="1"/>
  <c r="H12" i="106"/>
  <c r="D12" i="106" s="1"/>
  <c r="I12" i="106"/>
  <c r="H13" i="106"/>
  <c r="D13" i="106" s="1"/>
  <c r="I13" i="106"/>
  <c r="E13" i="106" s="1"/>
  <c r="H14" i="106"/>
  <c r="D14" i="106" s="1"/>
  <c r="I14" i="106"/>
  <c r="H15" i="106"/>
  <c r="D15" i="106" s="1"/>
  <c r="I15" i="106"/>
  <c r="E15" i="106" s="1"/>
  <c r="H16" i="106"/>
  <c r="D16" i="106" s="1"/>
  <c r="I16" i="106"/>
  <c r="H17" i="106"/>
  <c r="D17" i="106" s="1"/>
  <c r="I17" i="106"/>
  <c r="E17" i="106" s="1"/>
  <c r="H18" i="106"/>
  <c r="D18" i="106" s="1"/>
  <c r="I18" i="106"/>
  <c r="J55" i="106"/>
  <c r="J54" i="106"/>
  <c r="B48" i="106"/>
  <c r="I43" i="106"/>
  <c r="E43" i="106" s="1"/>
  <c r="H43" i="106"/>
  <c r="J43" i="106" s="1"/>
  <c r="C43" i="106"/>
  <c r="I42" i="106"/>
  <c r="E42" i="106" s="1"/>
  <c r="H42" i="106"/>
  <c r="C42" i="106"/>
  <c r="I40" i="106"/>
  <c r="E40" i="106" s="1"/>
  <c r="H40" i="106"/>
  <c r="J40" i="106" s="1"/>
  <c r="C40" i="106"/>
  <c r="B40" i="106"/>
  <c r="I35" i="106"/>
  <c r="H35" i="106"/>
  <c r="D35" i="106" s="1"/>
  <c r="E35" i="106"/>
  <c r="C35" i="106"/>
  <c r="I34" i="106"/>
  <c r="E34" i="106" s="1"/>
  <c r="H34" i="106"/>
  <c r="C34" i="106"/>
  <c r="A31" i="106"/>
  <c r="I7" i="106"/>
  <c r="E7" i="106" s="1"/>
  <c r="H7" i="106"/>
  <c r="C7" i="106"/>
  <c r="B7" i="106"/>
  <c r="F45" i="107" l="1"/>
  <c r="D45" i="107"/>
  <c r="J36" i="106"/>
  <c r="F37" i="106"/>
  <c r="F38" i="106"/>
  <c r="J34" i="106"/>
  <c r="F35" i="106"/>
  <c r="J42" i="106"/>
  <c r="J14" i="106"/>
  <c r="J13" i="106"/>
  <c r="J19" i="106"/>
  <c r="J39" i="106"/>
  <c r="F41" i="106"/>
  <c r="F8" i="106"/>
  <c r="D19" i="106"/>
  <c r="F19" i="106" s="1"/>
  <c r="D43" i="106"/>
  <c r="F43" i="106" s="1"/>
  <c r="J7" i="106"/>
  <c r="D34" i="106"/>
  <c r="D40" i="106"/>
  <c r="F40" i="106" s="1"/>
  <c r="D42" i="106"/>
  <c r="F42" i="106" s="1"/>
  <c r="J18" i="106"/>
  <c r="J17" i="106"/>
  <c r="F11" i="106"/>
  <c r="J10" i="106"/>
  <c r="J9" i="106"/>
  <c r="F9" i="106"/>
  <c r="D36" i="106"/>
  <c r="F36" i="106" s="1"/>
  <c r="D39" i="106"/>
  <c r="F39" i="106" s="1"/>
  <c r="J41" i="106"/>
  <c r="J38" i="106"/>
  <c r="E45" i="106"/>
  <c r="J37" i="106"/>
  <c r="F15" i="106"/>
  <c r="J16" i="106"/>
  <c r="J15" i="106"/>
  <c r="J12" i="106"/>
  <c r="J11" i="106"/>
  <c r="J8" i="106"/>
  <c r="D7" i="106"/>
  <c r="F7" i="106" s="1"/>
  <c r="E12" i="106"/>
  <c r="F12" i="106" s="1"/>
  <c r="E16" i="106"/>
  <c r="F16" i="106" s="1"/>
  <c r="E14" i="106"/>
  <c r="E10" i="106"/>
  <c r="E18" i="106"/>
  <c r="F18" i="106" s="1"/>
  <c r="F17" i="106"/>
  <c r="F13" i="106"/>
  <c r="F10" i="106"/>
  <c r="F14" i="106"/>
  <c r="F34" i="106"/>
  <c r="F45" i="106" s="1"/>
  <c r="J35" i="106"/>
  <c r="I37" i="105"/>
  <c r="H37" i="105"/>
  <c r="E37" i="105"/>
  <c r="C37" i="105"/>
  <c r="I42" i="105"/>
  <c r="E42" i="105" s="1"/>
  <c r="H42" i="105"/>
  <c r="D42" i="105" s="1"/>
  <c r="C42" i="105"/>
  <c r="I41" i="105"/>
  <c r="E41" i="105" s="1"/>
  <c r="H41" i="105"/>
  <c r="J41" i="105" s="1"/>
  <c r="C41" i="105"/>
  <c r="I40" i="105"/>
  <c r="E40" i="105" s="1"/>
  <c r="H40" i="105"/>
  <c r="C40" i="105"/>
  <c r="I39" i="105"/>
  <c r="E39" i="105" s="1"/>
  <c r="H39" i="105"/>
  <c r="J39" i="105" s="1"/>
  <c r="C39" i="105"/>
  <c r="I38" i="105"/>
  <c r="E38" i="105" s="1"/>
  <c r="H38" i="105"/>
  <c r="D38" i="105" s="1"/>
  <c r="C38" i="105"/>
  <c r="I36" i="105"/>
  <c r="H36" i="105"/>
  <c r="E36" i="105"/>
  <c r="C36" i="105"/>
  <c r="B36" i="105"/>
  <c r="I35" i="105"/>
  <c r="H35" i="105"/>
  <c r="D35" i="105" s="1"/>
  <c r="E35" i="105"/>
  <c r="C35" i="105"/>
  <c r="I34" i="105"/>
  <c r="H34" i="105"/>
  <c r="D34" i="105" s="1"/>
  <c r="E34" i="105"/>
  <c r="C34" i="105"/>
  <c r="I18" i="105"/>
  <c r="E18" i="105" s="1"/>
  <c r="I19" i="105"/>
  <c r="E19" i="105" s="1"/>
  <c r="H19" i="105"/>
  <c r="D19" i="105" s="1"/>
  <c r="C19" i="105"/>
  <c r="B19" i="105"/>
  <c r="I17" i="105"/>
  <c r="E17" i="105" s="1"/>
  <c r="H17" i="105"/>
  <c r="C17" i="105"/>
  <c r="B17" i="105"/>
  <c r="I16" i="105"/>
  <c r="E16" i="105" s="1"/>
  <c r="H16" i="105"/>
  <c r="D16" i="105" s="1"/>
  <c r="C16" i="105"/>
  <c r="B16" i="105"/>
  <c r="I15" i="105"/>
  <c r="E15" i="105" s="1"/>
  <c r="H15" i="105"/>
  <c r="C15" i="105"/>
  <c r="B15" i="105"/>
  <c r="I14" i="105"/>
  <c r="E14" i="105" s="1"/>
  <c r="H14" i="105"/>
  <c r="C14" i="105"/>
  <c r="B14" i="105"/>
  <c r="I13" i="105"/>
  <c r="E13" i="105" s="1"/>
  <c r="H13" i="105"/>
  <c r="C13" i="105"/>
  <c r="B13" i="105"/>
  <c r="I12" i="105"/>
  <c r="E12" i="105" s="1"/>
  <c r="H12" i="105"/>
  <c r="D12" i="105" s="1"/>
  <c r="I11" i="105"/>
  <c r="E11" i="105" s="1"/>
  <c r="H11" i="105"/>
  <c r="D11" i="105" s="1"/>
  <c r="B11" i="105"/>
  <c r="B12" i="105"/>
  <c r="C11" i="105"/>
  <c r="I10" i="105"/>
  <c r="E10" i="105" s="1"/>
  <c r="H10" i="105"/>
  <c r="C8" i="105"/>
  <c r="B8" i="105"/>
  <c r="C7" i="105"/>
  <c r="B7" i="105"/>
  <c r="I8" i="105"/>
  <c r="E8" i="105" s="1"/>
  <c r="H8" i="105"/>
  <c r="D8" i="105" s="1"/>
  <c r="I7" i="105"/>
  <c r="E7" i="105" s="1"/>
  <c r="H7" i="105"/>
  <c r="I9" i="105"/>
  <c r="E9" i="105" s="1"/>
  <c r="H9" i="105"/>
  <c r="C9" i="105"/>
  <c r="B9" i="105"/>
  <c r="J54" i="105"/>
  <c r="J53" i="105"/>
  <c r="B47" i="105"/>
  <c r="A31" i="105"/>
  <c r="H18" i="105"/>
  <c r="D18" i="105" s="1"/>
  <c r="C18" i="105"/>
  <c r="B18" i="105"/>
  <c r="C12" i="105"/>
  <c r="D45" i="106" l="1"/>
  <c r="J7" i="105"/>
  <c r="J13" i="105"/>
  <c r="J14" i="105"/>
  <c r="J15" i="105"/>
  <c r="J17" i="105"/>
  <c r="E44" i="105"/>
  <c r="E21" i="106"/>
  <c r="D21" i="106"/>
  <c r="F21" i="106"/>
  <c r="F35" i="105"/>
  <c r="J36" i="105"/>
  <c r="D39" i="105"/>
  <c r="F39" i="105" s="1"/>
  <c r="J40" i="105"/>
  <c r="J37" i="105"/>
  <c r="J8" i="105"/>
  <c r="D7" i="105"/>
  <c r="F7" i="105" s="1"/>
  <c r="D13" i="105"/>
  <c r="F13" i="105" s="1"/>
  <c r="D14" i="105"/>
  <c r="D15" i="105"/>
  <c r="F15" i="105" s="1"/>
  <c r="D17" i="105"/>
  <c r="F17" i="105" s="1"/>
  <c r="F38" i="105"/>
  <c r="J35" i="105"/>
  <c r="D36" i="105"/>
  <c r="F36" i="105" s="1"/>
  <c r="D37" i="105"/>
  <c r="F37" i="105" s="1"/>
  <c r="D40" i="105"/>
  <c r="F40" i="105" s="1"/>
  <c r="D41" i="105"/>
  <c r="F41" i="105" s="1"/>
  <c r="F42" i="105"/>
  <c r="F34" i="105"/>
  <c r="J38" i="105"/>
  <c r="J42" i="105"/>
  <c r="J34" i="105"/>
  <c r="J18" i="105"/>
  <c r="F19" i="105"/>
  <c r="J19" i="105"/>
  <c r="J16" i="105"/>
  <c r="F16" i="105"/>
  <c r="F14" i="105"/>
  <c r="J10" i="105"/>
  <c r="F11" i="105"/>
  <c r="J11" i="105"/>
  <c r="J12" i="105"/>
  <c r="D10" i="105"/>
  <c r="F10" i="105" s="1"/>
  <c r="J9" i="105"/>
  <c r="F12" i="105"/>
  <c r="D9" i="105"/>
  <c r="F9" i="105" s="1"/>
  <c r="F8" i="105"/>
  <c r="F18" i="105"/>
  <c r="I10" i="104"/>
  <c r="E10" i="104" s="1"/>
  <c r="H10" i="104"/>
  <c r="D10" i="104" s="1"/>
  <c r="C10" i="104"/>
  <c r="J42" i="104"/>
  <c r="J41" i="104"/>
  <c r="B35" i="104"/>
  <c r="E32" i="104"/>
  <c r="A26" i="104"/>
  <c r="I14" i="104"/>
  <c r="E14" i="104" s="1"/>
  <c r="H14" i="104"/>
  <c r="D14" i="104" s="1"/>
  <c r="C14" i="104"/>
  <c r="B14" i="104"/>
  <c r="I13" i="104"/>
  <c r="E13" i="104" s="1"/>
  <c r="H13" i="104"/>
  <c r="D13" i="104" s="1"/>
  <c r="C13" i="104"/>
  <c r="B13" i="104"/>
  <c r="I12" i="104"/>
  <c r="H12" i="104"/>
  <c r="D12" i="104" s="1"/>
  <c r="E12" i="104"/>
  <c r="C12" i="104"/>
  <c r="B12" i="104"/>
  <c r="I11" i="104"/>
  <c r="E11" i="104" s="1"/>
  <c r="H11" i="104"/>
  <c r="D11" i="104" s="1"/>
  <c r="C11" i="104"/>
  <c r="B11" i="104"/>
  <c r="I9" i="104"/>
  <c r="H9" i="104"/>
  <c r="D9" i="104" s="1"/>
  <c r="E9" i="104"/>
  <c r="C9" i="104"/>
  <c r="B9" i="104"/>
  <c r="I8" i="104"/>
  <c r="H8" i="104"/>
  <c r="D8" i="104" s="1"/>
  <c r="E8" i="104"/>
  <c r="C8" i="104"/>
  <c r="B8" i="104"/>
  <c r="I7" i="104"/>
  <c r="E7" i="104" s="1"/>
  <c r="H7" i="104"/>
  <c r="D7" i="104" s="1"/>
  <c r="D16" i="104" s="1"/>
  <c r="C7" i="104"/>
  <c r="B7" i="104"/>
  <c r="F11" i="104" l="1"/>
  <c r="E16" i="104"/>
  <c r="D44" i="105"/>
  <c r="F44" i="105"/>
  <c r="E21" i="105"/>
  <c r="D21" i="105"/>
  <c r="F21" i="105"/>
  <c r="F8" i="104"/>
  <c r="F9" i="104"/>
  <c r="J11" i="104"/>
  <c r="F12" i="104"/>
  <c r="D32" i="104"/>
  <c r="J10" i="104"/>
  <c r="F10" i="104"/>
  <c r="F13" i="104"/>
  <c r="F14" i="104"/>
  <c r="F7" i="104"/>
  <c r="J7" i="104"/>
  <c r="J8" i="104"/>
  <c r="J9" i="104"/>
  <c r="J12" i="104"/>
  <c r="J13" i="104"/>
  <c r="J14" i="104"/>
  <c r="G34" i="103"/>
  <c r="F16" i="104" l="1"/>
  <c r="F32" i="104"/>
  <c r="C33" i="103"/>
  <c r="C32" i="103"/>
  <c r="C31" i="103"/>
  <c r="C30" i="103"/>
  <c r="C29" i="103"/>
  <c r="C28" i="103"/>
  <c r="C27" i="103"/>
  <c r="C26" i="103"/>
  <c r="B26" i="103"/>
  <c r="C25" i="103"/>
  <c r="B25" i="103"/>
  <c r="C24" i="103"/>
  <c r="H24" i="103"/>
  <c r="D24" i="103" s="1"/>
  <c r="I24" i="103"/>
  <c r="H25" i="103"/>
  <c r="D25" i="103" s="1"/>
  <c r="I25" i="103"/>
  <c r="E25" i="103" s="1"/>
  <c r="H26" i="103"/>
  <c r="D26" i="103" s="1"/>
  <c r="I26" i="103"/>
  <c r="E26" i="103" s="1"/>
  <c r="H27" i="103"/>
  <c r="D27" i="103" s="1"/>
  <c r="F27" i="103" s="1"/>
  <c r="I27" i="103"/>
  <c r="E27" i="103" s="1"/>
  <c r="J27" i="103"/>
  <c r="H28" i="103"/>
  <c r="D28" i="103" s="1"/>
  <c r="I28" i="103"/>
  <c r="J28" i="103" s="1"/>
  <c r="H29" i="103"/>
  <c r="D29" i="103" s="1"/>
  <c r="I29" i="103"/>
  <c r="E29" i="103" s="1"/>
  <c r="H30" i="103"/>
  <c r="D30" i="103" s="1"/>
  <c r="I30" i="103"/>
  <c r="E30" i="103" s="1"/>
  <c r="H31" i="103"/>
  <c r="D31" i="103" s="1"/>
  <c r="I31" i="103"/>
  <c r="E31" i="103" s="1"/>
  <c r="H32" i="103"/>
  <c r="D32" i="103" s="1"/>
  <c r="I32" i="103"/>
  <c r="H33" i="103"/>
  <c r="D33" i="103" s="1"/>
  <c r="I33" i="103"/>
  <c r="E33" i="103" s="1"/>
  <c r="I23" i="103"/>
  <c r="F26" i="103" l="1"/>
  <c r="J32" i="103"/>
  <c r="J31" i="103"/>
  <c r="F30" i="103"/>
  <c r="J24" i="103"/>
  <c r="F31" i="103"/>
  <c r="E24" i="103"/>
  <c r="F24" i="103" s="1"/>
  <c r="F25" i="103"/>
  <c r="E28" i="103"/>
  <c r="F28" i="103" s="1"/>
  <c r="F29" i="103"/>
  <c r="E32" i="103"/>
  <c r="F32" i="103" s="1"/>
  <c r="F33" i="103"/>
  <c r="J33" i="103"/>
  <c r="J30" i="103"/>
  <c r="J29" i="103"/>
  <c r="J26" i="103"/>
  <c r="J25" i="103"/>
  <c r="I9" i="103"/>
  <c r="E9" i="103" s="1"/>
  <c r="H9" i="103"/>
  <c r="C9" i="103"/>
  <c r="B9" i="103"/>
  <c r="I8" i="103"/>
  <c r="E8" i="103" s="1"/>
  <c r="H8" i="103"/>
  <c r="I7" i="103"/>
  <c r="E7" i="103" s="1"/>
  <c r="H7" i="103"/>
  <c r="D7" i="103" s="1"/>
  <c r="F7" i="103" s="1"/>
  <c r="C7" i="103"/>
  <c r="B7" i="103"/>
  <c r="J44" i="103"/>
  <c r="J43" i="103"/>
  <c r="B37" i="103"/>
  <c r="H23" i="103"/>
  <c r="E23" i="103"/>
  <c r="E34" i="103" s="1"/>
  <c r="C23" i="103"/>
  <c r="A21" i="103"/>
  <c r="J9" i="103" l="1"/>
  <c r="D23" i="103"/>
  <c r="D34" i="103" s="1"/>
  <c r="J23" i="103"/>
  <c r="E11" i="103"/>
  <c r="D9" i="103"/>
  <c r="J8" i="103"/>
  <c r="J7" i="103"/>
  <c r="D8" i="103"/>
  <c r="F8" i="103" s="1"/>
  <c r="F9" i="103"/>
  <c r="F23" i="103"/>
  <c r="F34" i="103" s="1"/>
  <c r="I42" i="102"/>
  <c r="I43" i="102"/>
  <c r="I44" i="102"/>
  <c r="I41" i="102"/>
  <c r="E41" i="102" s="1"/>
  <c r="C41" i="102"/>
  <c r="C42" i="102"/>
  <c r="C43" i="102"/>
  <c r="C44" i="102"/>
  <c r="B41" i="102"/>
  <c r="H43" i="102"/>
  <c r="D43" i="102" s="1"/>
  <c r="J43" i="102"/>
  <c r="H44" i="102"/>
  <c r="D44" i="102" s="1"/>
  <c r="J44" i="102"/>
  <c r="B9" i="102"/>
  <c r="C9" i="102"/>
  <c r="B10" i="102"/>
  <c r="C10" i="102"/>
  <c r="B11" i="102"/>
  <c r="C11" i="102"/>
  <c r="B12" i="102"/>
  <c r="C12" i="102"/>
  <c r="B13" i="102"/>
  <c r="C13" i="102"/>
  <c r="B14" i="102"/>
  <c r="C14" i="102"/>
  <c r="B15" i="102"/>
  <c r="C15" i="102"/>
  <c r="B16" i="102"/>
  <c r="C16" i="102"/>
  <c r="B17" i="102"/>
  <c r="C17" i="102"/>
  <c r="B18" i="102"/>
  <c r="C18" i="102"/>
  <c r="B19" i="102"/>
  <c r="C19" i="102"/>
  <c r="B20" i="102"/>
  <c r="C20" i="102"/>
  <c r="B21" i="102"/>
  <c r="C21" i="102"/>
  <c r="B22" i="102"/>
  <c r="C22" i="102"/>
  <c r="B23" i="102"/>
  <c r="C23" i="102"/>
  <c r="B24" i="102"/>
  <c r="C24" i="102"/>
  <c r="B25" i="102"/>
  <c r="C25" i="102"/>
  <c r="B26" i="102"/>
  <c r="C26" i="102"/>
  <c r="B27" i="102"/>
  <c r="C27" i="102"/>
  <c r="H9" i="102"/>
  <c r="D9" i="102" s="1"/>
  <c r="H10" i="102"/>
  <c r="D10" i="102" s="1"/>
  <c r="H11" i="102"/>
  <c r="D11" i="102" s="1"/>
  <c r="H12" i="102"/>
  <c r="D12" i="102" s="1"/>
  <c r="H13" i="102"/>
  <c r="D13" i="102" s="1"/>
  <c r="H14" i="102"/>
  <c r="D14" i="102" s="1"/>
  <c r="H15" i="102"/>
  <c r="D15" i="102" s="1"/>
  <c r="H16" i="102"/>
  <c r="H17" i="102"/>
  <c r="D17" i="102" s="1"/>
  <c r="H18" i="102"/>
  <c r="D18" i="102" s="1"/>
  <c r="H19" i="102"/>
  <c r="D19" i="102" s="1"/>
  <c r="H20" i="102"/>
  <c r="D20" i="102" s="1"/>
  <c r="H21" i="102"/>
  <c r="D21" i="102" s="1"/>
  <c r="H22" i="102"/>
  <c r="D22" i="102" s="1"/>
  <c r="H23" i="102"/>
  <c r="D23" i="102" s="1"/>
  <c r="H24" i="102"/>
  <c r="D24" i="102" s="1"/>
  <c r="H25" i="102"/>
  <c r="D25" i="102" s="1"/>
  <c r="H26" i="102"/>
  <c r="H27" i="102"/>
  <c r="D27" i="102" s="1"/>
  <c r="I9" i="102"/>
  <c r="E9" i="102" s="1"/>
  <c r="I10" i="102"/>
  <c r="E10" i="102" s="1"/>
  <c r="I11" i="102"/>
  <c r="E11" i="102" s="1"/>
  <c r="I12" i="102"/>
  <c r="E12" i="102" s="1"/>
  <c r="I13" i="102"/>
  <c r="E13" i="102" s="1"/>
  <c r="I14" i="102"/>
  <c r="E14" i="102" s="1"/>
  <c r="I15" i="102"/>
  <c r="E15" i="102" s="1"/>
  <c r="I16" i="102"/>
  <c r="E16" i="102" s="1"/>
  <c r="I17" i="102"/>
  <c r="E17" i="102" s="1"/>
  <c r="I18" i="102"/>
  <c r="E18" i="102" s="1"/>
  <c r="I19" i="102"/>
  <c r="E19" i="102" s="1"/>
  <c r="I20" i="102"/>
  <c r="E20" i="102" s="1"/>
  <c r="I21" i="102"/>
  <c r="E21" i="102" s="1"/>
  <c r="I22" i="102"/>
  <c r="E22" i="102" s="1"/>
  <c r="I23" i="102"/>
  <c r="E23" i="102" s="1"/>
  <c r="I24" i="102"/>
  <c r="E24" i="102" s="1"/>
  <c r="I25" i="102"/>
  <c r="E25" i="102" s="1"/>
  <c r="I26" i="102"/>
  <c r="E26" i="102" s="1"/>
  <c r="I27" i="102"/>
  <c r="E27" i="102" s="1"/>
  <c r="I8" i="102"/>
  <c r="E8" i="102" s="1"/>
  <c r="H8" i="102"/>
  <c r="D8" i="102" s="1"/>
  <c r="C8" i="102"/>
  <c r="B8" i="102"/>
  <c r="J55" i="102"/>
  <c r="J54" i="102"/>
  <c r="B48" i="102"/>
  <c r="H42" i="102"/>
  <c r="D42" i="102" s="1"/>
  <c r="E42" i="102"/>
  <c r="H41" i="102"/>
  <c r="J41" i="102" s="1"/>
  <c r="A39" i="102"/>
  <c r="J13" i="102"/>
  <c r="I7" i="102"/>
  <c r="E7" i="102" s="1"/>
  <c r="H7" i="102"/>
  <c r="D7" i="102" s="1"/>
  <c r="C7" i="102"/>
  <c r="B7" i="102"/>
  <c r="E29" i="102" l="1"/>
  <c r="F27" i="102"/>
  <c r="F23" i="102"/>
  <c r="F17" i="102"/>
  <c r="F11" i="102"/>
  <c r="J26" i="102"/>
  <c r="F24" i="102"/>
  <c r="F18" i="102"/>
  <c r="J16" i="102"/>
  <c r="F14" i="102"/>
  <c r="F10" i="102"/>
  <c r="F20" i="102"/>
  <c r="F12" i="102"/>
  <c r="D26" i="102"/>
  <c r="F26" i="102" s="1"/>
  <c r="J9" i="102"/>
  <c r="D16" i="102"/>
  <c r="F16" i="102" s="1"/>
  <c r="F11" i="103"/>
  <c r="D11" i="103"/>
  <c r="E44" i="102"/>
  <c r="F44" i="102" s="1"/>
  <c r="E43" i="102"/>
  <c r="E45" i="102" s="1"/>
  <c r="D41" i="102"/>
  <c r="D45" i="102" s="1"/>
  <c r="F42" i="102"/>
  <c r="F21" i="102"/>
  <c r="F13" i="102"/>
  <c r="F25" i="102"/>
  <c r="F22" i="102"/>
  <c r="F19" i="102"/>
  <c r="F15" i="102"/>
  <c r="F9" i="102"/>
  <c r="J11" i="102"/>
  <c r="J15" i="102"/>
  <c r="J17" i="102"/>
  <c r="J19" i="102"/>
  <c r="J21" i="102"/>
  <c r="J7" i="102"/>
  <c r="F8" i="102"/>
  <c r="J8" i="102"/>
  <c r="F7" i="102"/>
  <c r="J10" i="102"/>
  <c r="J12" i="102"/>
  <c r="J14" i="102"/>
  <c r="J18" i="102"/>
  <c r="J20" i="102"/>
  <c r="J22" i="102"/>
  <c r="J23" i="102"/>
  <c r="J24" i="102"/>
  <c r="J25" i="102"/>
  <c r="J27" i="102"/>
  <c r="F41" i="102"/>
  <c r="J42" i="102"/>
  <c r="F29" i="102" l="1"/>
  <c r="D29" i="102"/>
  <c r="F43" i="102"/>
  <c r="F45" i="102" s="1"/>
  <c r="B48" i="101"/>
  <c r="I28" i="101"/>
  <c r="E28" i="101" s="1"/>
  <c r="H28" i="101"/>
  <c r="D28" i="101" s="1"/>
  <c r="I24" i="101"/>
  <c r="E24" i="101" s="1"/>
  <c r="H24" i="101"/>
  <c r="J24" i="101" s="1"/>
  <c r="J28" i="101" l="1"/>
  <c r="D24" i="101"/>
  <c r="F24" i="101" s="1"/>
  <c r="I15" i="101" l="1"/>
  <c r="E15" i="101" s="1"/>
  <c r="H15" i="101"/>
  <c r="J15" i="101" l="1"/>
  <c r="D15" i="101"/>
  <c r="F15" i="101" s="1"/>
  <c r="I22" i="101" l="1"/>
  <c r="E22" i="101" s="1"/>
  <c r="H22" i="101"/>
  <c r="I16" i="101"/>
  <c r="E16" i="101" s="1"/>
  <c r="H16" i="101"/>
  <c r="I19" i="101"/>
  <c r="E19" i="101" s="1"/>
  <c r="H19" i="101"/>
  <c r="D19" i="101" s="1"/>
  <c r="F19" i="101" s="1"/>
  <c r="C19" i="101"/>
  <c r="B19" i="101"/>
  <c r="I18" i="101"/>
  <c r="E18" i="101" s="1"/>
  <c r="H18" i="101"/>
  <c r="D18" i="101" s="1"/>
  <c r="F18" i="101" s="1"/>
  <c r="C18" i="101"/>
  <c r="B18" i="101"/>
  <c r="I17" i="101"/>
  <c r="H17" i="101"/>
  <c r="D17" i="101" s="1"/>
  <c r="E17" i="101"/>
  <c r="C17" i="101"/>
  <c r="B17" i="101"/>
  <c r="J22" i="101" l="1"/>
  <c r="F17" i="101"/>
  <c r="J18" i="101"/>
  <c r="J19" i="101"/>
  <c r="D16" i="101"/>
  <c r="F16" i="101" s="1"/>
  <c r="D22" i="101"/>
  <c r="F22" i="101" s="1"/>
  <c r="J16" i="101"/>
  <c r="J17" i="101"/>
  <c r="I21" i="101"/>
  <c r="H21" i="101"/>
  <c r="D21" i="101" s="1"/>
  <c r="F21" i="101" s="1"/>
  <c r="E21" i="101"/>
  <c r="C21" i="101"/>
  <c r="B21" i="101"/>
  <c r="I20" i="101"/>
  <c r="E20" i="101" s="1"/>
  <c r="H20" i="101"/>
  <c r="C20" i="101"/>
  <c r="B20" i="101"/>
  <c r="I23" i="101"/>
  <c r="E23" i="101" s="1"/>
  <c r="H23" i="101"/>
  <c r="I25" i="101"/>
  <c r="H25" i="101"/>
  <c r="E25" i="101"/>
  <c r="C25" i="101"/>
  <c r="B25" i="101"/>
  <c r="I26" i="101"/>
  <c r="E26" i="101" s="1"/>
  <c r="H26" i="101"/>
  <c r="D26" i="101" s="1"/>
  <c r="C26" i="101"/>
  <c r="B26" i="101"/>
  <c r="I27" i="101"/>
  <c r="E27" i="101" s="1"/>
  <c r="H27" i="101"/>
  <c r="D27" i="101" s="1"/>
  <c r="C27" i="101"/>
  <c r="B27" i="101"/>
  <c r="I29" i="101"/>
  <c r="E29" i="101" s="1"/>
  <c r="H29" i="101"/>
  <c r="D29" i="101" s="1"/>
  <c r="C29" i="101"/>
  <c r="B29" i="101"/>
  <c r="I13" i="101"/>
  <c r="H13" i="101"/>
  <c r="D13" i="101" s="1"/>
  <c r="E13" i="101"/>
  <c r="C13" i="101"/>
  <c r="B13" i="101"/>
  <c r="I10" i="101"/>
  <c r="H10" i="101"/>
  <c r="D10" i="101" s="1"/>
  <c r="E10" i="101"/>
  <c r="C10" i="101"/>
  <c r="B10" i="101"/>
  <c r="I9" i="101"/>
  <c r="E9" i="101" s="1"/>
  <c r="H9" i="101"/>
  <c r="C9" i="101"/>
  <c r="B9" i="101"/>
  <c r="I8" i="101"/>
  <c r="E8" i="101" s="1"/>
  <c r="H8" i="101"/>
  <c r="J55" i="101"/>
  <c r="J54" i="101"/>
  <c r="I44" i="101"/>
  <c r="H44" i="101"/>
  <c r="D44" i="101" s="1"/>
  <c r="E44" i="101"/>
  <c r="C44" i="101"/>
  <c r="I43" i="101"/>
  <c r="E43" i="101" s="1"/>
  <c r="E45" i="101" s="1"/>
  <c r="H43" i="101"/>
  <c r="C43" i="101"/>
  <c r="A41" i="101"/>
  <c r="C28" i="101"/>
  <c r="I14" i="101"/>
  <c r="E14" i="101" s="1"/>
  <c r="H14" i="101"/>
  <c r="D14" i="101" s="1"/>
  <c r="C14" i="101"/>
  <c r="B14" i="101"/>
  <c r="I12" i="101"/>
  <c r="E12" i="101" s="1"/>
  <c r="H12" i="101"/>
  <c r="D12" i="101" s="1"/>
  <c r="C12" i="101"/>
  <c r="B12" i="101"/>
  <c r="I11" i="101"/>
  <c r="E11" i="101" s="1"/>
  <c r="H11" i="101"/>
  <c r="D11" i="101" s="1"/>
  <c r="C11" i="101"/>
  <c r="B11" i="101"/>
  <c r="I7" i="101"/>
  <c r="E7" i="101" s="1"/>
  <c r="H7" i="101"/>
  <c r="C7" i="101"/>
  <c r="B7" i="101"/>
  <c r="J20" i="101" l="1"/>
  <c r="D20" i="101"/>
  <c r="E31" i="101"/>
  <c r="E53" i="101" s="1"/>
  <c r="J43" i="101"/>
  <c r="F44" i="101"/>
  <c r="J23" i="101"/>
  <c r="D23" i="101"/>
  <c r="F23" i="101" s="1"/>
  <c r="J7" i="101"/>
  <c r="D7" i="101"/>
  <c r="D8" i="101"/>
  <c r="F8" i="101" s="1"/>
  <c r="J9" i="101"/>
  <c r="D9" i="101"/>
  <c r="F29" i="101"/>
  <c r="F27" i="101"/>
  <c r="F26" i="101"/>
  <c r="J25" i="101"/>
  <c r="F20" i="101"/>
  <c r="J21" i="101"/>
  <c r="D25" i="101"/>
  <c r="F25" i="101" s="1"/>
  <c r="J26" i="101"/>
  <c r="J27" i="101"/>
  <c r="J29" i="101"/>
  <c r="J12" i="101"/>
  <c r="F14" i="101"/>
  <c r="F13" i="101"/>
  <c r="J13" i="101"/>
  <c r="J11" i="101"/>
  <c r="F11" i="101"/>
  <c r="F12" i="101"/>
  <c r="F28" i="101"/>
  <c r="F10" i="101"/>
  <c r="D43" i="101"/>
  <c r="F43" i="101" s="1"/>
  <c r="F9" i="101"/>
  <c r="J10" i="101"/>
  <c r="J8" i="101"/>
  <c r="F7" i="101"/>
  <c r="J14" i="101"/>
  <c r="J44" i="101"/>
  <c r="A27" i="100"/>
  <c r="I15" i="100"/>
  <c r="E15" i="100" s="1"/>
  <c r="H15" i="100"/>
  <c r="C15" i="100"/>
  <c r="B15" i="100"/>
  <c r="E16" i="100"/>
  <c r="D16" i="100"/>
  <c r="E14" i="100"/>
  <c r="D14" i="100"/>
  <c r="I13" i="100"/>
  <c r="E13" i="100" s="1"/>
  <c r="H13" i="100"/>
  <c r="D13" i="100" s="1"/>
  <c r="C13" i="100"/>
  <c r="B13" i="100"/>
  <c r="I12" i="100"/>
  <c r="E12" i="100" s="1"/>
  <c r="H12" i="100"/>
  <c r="D12" i="100" s="1"/>
  <c r="C12" i="100"/>
  <c r="B12" i="100"/>
  <c r="I11" i="100"/>
  <c r="E11" i="100" s="1"/>
  <c r="H11" i="100"/>
  <c r="D11" i="100" s="1"/>
  <c r="C11" i="100"/>
  <c r="B11" i="100"/>
  <c r="I10" i="100"/>
  <c r="H10" i="100"/>
  <c r="D10" i="100" s="1"/>
  <c r="E10" i="100"/>
  <c r="C10" i="100"/>
  <c r="B10" i="100"/>
  <c r="I9" i="100"/>
  <c r="E9" i="100" s="1"/>
  <c r="H9" i="100"/>
  <c r="D9" i="100" s="1"/>
  <c r="C9" i="100"/>
  <c r="B9" i="100"/>
  <c r="J41" i="100"/>
  <c r="J40" i="100"/>
  <c r="I30" i="100"/>
  <c r="H30" i="100"/>
  <c r="D30" i="100" s="1"/>
  <c r="E30" i="100"/>
  <c r="C30" i="100"/>
  <c r="I29" i="100"/>
  <c r="E29" i="100" s="1"/>
  <c r="H29" i="100"/>
  <c r="C29" i="100"/>
  <c r="J16" i="100"/>
  <c r="C16" i="100"/>
  <c r="B16" i="100"/>
  <c r="J14" i="100"/>
  <c r="C14" i="100"/>
  <c r="B14" i="100"/>
  <c r="I8" i="100"/>
  <c r="E8" i="100" s="1"/>
  <c r="H8" i="100"/>
  <c r="C8" i="100"/>
  <c r="B8" i="100"/>
  <c r="I7" i="100"/>
  <c r="E7" i="100" s="1"/>
  <c r="E17" i="100" s="1"/>
  <c r="H7" i="100"/>
  <c r="D7" i="100" s="1"/>
  <c r="C7" i="100"/>
  <c r="B7" i="100"/>
  <c r="F31" i="101" l="1"/>
  <c r="D31" i="101"/>
  <c r="F45" i="101"/>
  <c r="D45" i="101"/>
  <c r="F53" i="101"/>
  <c r="J15" i="100"/>
  <c r="D15" i="100"/>
  <c r="J8" i="100"/>
  <c r="F15" i="100"/>
  <c r="F13" i="100"/>
  <c r="J13" i="100"/>
  <c r="F12" i="100"/>
  <c r="J12" i="100"/>
  <c r="F11" i="100"/>
  <c r="J11" i="100"/>
  <c r="F10" i="100"/>
  <c r="J10" i="100"/>
  <c r="F9" i="100"/>
  <c r="J9" i="100"/>
  <c r="E31" i="100"/>
  <c r="J29" i="100"/>
  <c r="F30" i="100"/>
  <c r="D8" i="100"/>
  <c r="D17" i="100" s="1"/>
  <c r="F7" i="100"/>
  <c r="F8" i="100"/>
  <c r="F14" i="100"/>
  <c r="F16" i="100"/>
  <c r="D29" i="100"/>
  <c r="F29" i="100" s="1"/>
  <c r="J7" i="100"/>
  <c r="J30" i="100"/>
  <c r="E39" i="100"/>
  <c r="E10" i="99"/>
  <c r="D10" i="99"/>
  <c r="J11" i="99"/>
  <c r="J10" i="99"/>
  <c r="I27" i="99"/>
  <c r="E27" i="99" s="1"/>
  <c r="I26" i="99"/>
  <c r="E26" i="99" s="1"/>
  <c r="I25" i="99"/>
  <c r="I24" i="99"/>
  <c r="I9" i="99"/>
  <c r="I8" i="99"/>
  <c r="E8" i="99" s="1"/>
  <c r="H8" i="99"/>
  <c r="I7" i="99"/>
  <c r="E7" i="99" s="1"/>
  <c r="H7" i="99"/>
  <c r="H9" i="99"/>
  <c r="D9" i="99" s="1"/>
  <c r="E9" i="99"/>
  <c r="E11" i="99"/>
  <c r="H24" i="99"/>
  <c r="D24" i="99" s="1"/>
  <c r="H25" i="99"/>
  <c r="E25" i="99"/>
  <c r="H26" i="99"/>
  <c r="D26" i="99" s="1"/>
  <c r="H27" i="99"/>
  <c r="D27" i="99" s="1"/>
  <c r="C8" i="99"/>
  <c r="C9" i="99"/>
  <c r="C10" i="99"/>
  <c r="C11" i="99"/>
  <c r="C24" i="99"/>
  <c r="C25" i="99"/>
  <c r="C26" i="99"/>
  <c r="C27" i="99"/>
  <c r="C7" i="99"/>
  <c r="J38" i="99"/>
  <c r="J37" i="99"/>
  <c r="E24" i="99"/>
  <c r="D11" i="99"/>
  <c r="B11" i="99"/>
  <c r="B10" i="99"/>
  <c r="B9" i="99"/>
  <c r="B8" i="99"/>
  <c r="B7" i="99"/>
  <c r="D53" i="101" l="1"/>
  <c r="D31" i="100"/>
  <c r="F17" i="100"/>
  <c r="D39" i="100"/>
  <c r="F31" i="100"/>
  <c r="F39" i="100"/>
  <c r="E12" i="99"/>
  <c r="J7" i="99"/>
  <c r="J8" i="99"/>
  <c r="E28" i="99"/>
  <c r="D7" i="99"/>
  <c r="D8" i="99"/>
  <c r="F8" i="99" s="1"/>
  <c r="F10" i="99"/>
  <c r="F26" i="99"/>
  <c r="F24" i="99"/>
  <c r="F9" i="99"/>
  <c r="F11" i="99"/>
  <c r="J24" i="99"/>
  <c r="J25" i="99"/>
  <c r="J26" i="99"/>
  <c r="F27" i="99"/>
  <c r="J9" i="99"/>
  <c r="J27" i="99"/>
  <c r="D25" i="99"/>
  <c r="F25" i="99" s="1"/>
  <c r="I7" i="97"/>
  <c r="E7" i="97" s="1"/>
  <c r="H8" i="97"/>
  <c r="D8" i="97" s="1"/>
  <c r="I8" i="97"/>
  <c r="E8" i="97" s="1"/>
  <c r="H9" i="97"/>
  <c r="D9" i="97" s="1"/>
  <c r="I9" i="97"/>
  <c r="H10" i="97"/>
  <c r="D10" i="97" s="1"/>
  <c r="I10" i="97"/>
  <c r="J10" i="97" s="1"/>
  <c r="H11" i="97"/>
  <c r="D11" i="97" s="1"/>
  <c r="I11" i="97"/>
  <c r="H12" i="97"/>
  <c r="D12" i="97" s="1"/>
  <c r="I12" i="97"/>
  <c r="E12" i="97" s="1"/>
  <c r="H13" i="97"/>
  <c r="D13" i="97" s="1"/>
  <c r="I13" i="97"/>
  <c r="H14" i="97"/>
  <c r="D14" i="97" s="1"/>
  <c r="I14" i="97"/>
  <c r="E14" i="97" s="1"/>
  <c r="H15" i="97"/>
  <c r="D15" i="97" s="1"/>
  <c r="I15" i="97"/>
  <c r="H16" i="97"/>
  <c r="D16" i="97" s="1"/>
  <c r="F16" i="97" s="1"/>
  <c r="I16" i="97"/>
  <c r="E16" i="97" s="1"/>
  <c r="H17" i="97"/>
  <c r="D17" i="97" s="1"/>
  <c r="I17" i="97"/>
  <c r="H18" i="97"/>
  <c r="D18" i="97" s="1"/>
  <c r="F18" i="97" s="1"/>
  <c r="I18" i="97"/>
  <c r="E18" i="97" s="1"/>
  <c r="H19" i="97"/>
  <c r="D19" i="97" s="1"/>
  <c r="I19" i="97"/>
  <c r="H20" i="97"/>
  <c r="D20" i="97" s="1"/>
  <c r="F20" i="97" s="1"/>
  <c r="I20" i="97"/>
  <c r="E20" i="97" s="1"/>
  <c r="H21" i="97"/>
  <c r="D21" i="97" s="1"/>
  <c r="I21" i="97"/>
  <c r="E21" i="97" s="1"/>
  <c r="H22" i="97"/>
  <c r="D22" i="97" s="1"/>
  <c r="I22" i="97"/>
  <c r="E22" i="97" s="1"/>
  <c r="J22" i="97"/>
  <c r="H23" i="97"/>
  <c r="D23" i="97" s="1"/>
  <c r="I23" i="97"/>
  <c r="J23" i="97" s="1"/>
  <c r="H24" i="97"/>
  <c r="D24" i="97" s="1"/>
  <c r="I24" i="97"/>
  <c r="E24" i="97" s="1"/>
  <c r="H25" i="97"/>
  <c r="D25" i="97" s="1"/>
  <c r="I25" i="97"/>
  <c r="E25" i="97" s="1"/>
  <c r="F25" i="97" s="1"/>
  <c r="H26" i="97"/>
  <c r="D26" i="97" s="1"/>
  <c r="I26" i="97"/>
  <c r="E26" i="97" s="1"/>
  <c r="H27" i="97"/>
  <c r="D27" i="97" s="1"/>
  <c r="I27" i="97"/>
  <c r="H28" i="97"/>
  <c r="D28" i="97" s="1"/>
  <c r="I28" i="97"/>
  <c r="E28" i="97" s="1"/>
  <c r="H7" i="97"/>
  <c r="D7" i="97" s="1"/>
  <c r="C28" i="97"/>
  <c r="B28" i="97"/>
  <c r="C27" i="97"/>
  <c r="B27" i="97"/>
  <c r="C26" i="97"/>
  <c r="B26" i="97"/>
  <c r="C25" i="97"/>
  <c r="B25" i="97"/>
  <c r="C24" i="97"/>
  <c r="B24" i="97"/>
  <c r="C23" i="97"/>
  <c r="B23" i="97"/>
  <c r="C22" i="97"/>
  <c r="B22" i="97"/>
  <c r="C21" i="97"/>
  <c r="B21" i="97"/>
  <c r="C20" i="97"/>
  <c r="B20" i="97"/>
  <c r="C19" i="97"/>
  <c r="B19" i="97"/>
  <c r="C18" i="97"/>
  <c r="B18" i="97"/>
  <c r="C17" i="97"/>
  <c r="B17" i="97"/>
  <c r="C16" i="97"/>
  <c r="B16" i="97"/>
  <c r="C15" i="97"/>
  <c r="B15" i="97"/>
  <c r="C14" i="97"/>
  <c r="B14" i="97"/>
  <c r="C13" i="97"/>
  <c r="B13" i="97"/>
  <c r="C12" i="97"/>
  <c r="B12" i="97"/>
  <c r="C11" i="97"/>
  <c r="B11" i="97"/>
  <c r="C10" i="97"/>
  <c r="B10" i="97"/>
  <c r="C9" i="97"/>
  <c r="B9" i="97"/>
  <c r="C8" i="97"/>
  <c r="B8" i="97"/>
  <c r="C7" i="97"/>
  <c r="B7" i="97"/>
  <c r="J31" i="98"/>
  <c r="J30" i="98"/>
  <c r="P26" i="98"/>
  <c r="O26" i="98"/>
  <c r="H26" i="98" s="1"/>
  <c r="I26" i="98"/>
  <c r="E26" i="98" s="1"/>
  <c r="J25" i="98"/>
  <c r="E25" i="98"/>
  <c r="D25" i="98"/>
  <c r="F25" i="98" s="1"/>
  <c r="I24" i="98"/>
  <c r="E24" i="98" s="1"/>
  <c r="H24" i="98"/>
  <c r="J24" i="98" s="1"/>
  <c r="I23" i="98"/>
  <c r="E23" i="98" s="1"/>
  <c r="H23" i="98"/>
  <c r="D23" i="98" s="1"/>
  <c r="F23" i="98" s="1"/>
  <c r="I22" i="98"/>
  <c r="E22" i="98" s="1"/>
  <c r="H22" i="98"/>
  <c r="J22" i="98" s="1"/>
  <c r="I21" i="98"/>
  <c r="E21" i="98" s="1"/>
  <c r="H21" i="98"/>
  <c r="D21" i="98" s="1"/>
  <c r="F21" i="98" s="1"/>
  <c r="I20" i="98"/>
  <c r="E20" i="98" s="1"/>
  <c r="H20" i="98"/>
  <c r="J20" i="98" s="1"/>
  <c r="I19" i="98"/>
  <c r="E19" i="98" s="1"/>
  <c r="H19" i="98"/>
  <c r="D19" i="98" s="1"/>
  <c r="F19" i="98" s="1"/>
  <c r="I18" i="98"/>
  <c r="E18" i="98" s="1"/>
  <c r="H18" i="98"/>
  <c r="I17" i="98"/>
  <c r="E17" i="98" s="1"/>
  <c r="H17" i="98"/>
  <c r="D17" i="98" s="1"/>
  <c r="F17" i="98" s="1"/>
  <c r="I16" i="98"/>
  <c r="E16" i="98" s="1"/>
  <c r="H16" i="98"/>
  <c r="I15" i="98"/>
  <c r="E15" i="98" s="1"/>
  <c r="H15" i="98"/>
  <c r="D15" i="98" s="1"/>
  <c r="I14" i="98"/>
  <c r="E14" i="98" s="1"/>
  <c r="H14" i="98"/>
  <c r="I13" i="98"/>
  <c r="E13" i="98" s="1"/>
  <c r="H13" i="98"/>
  <c r="D13" i="98"/>
  <c r="F13" i="98" s="1"/>
  <c r="I12" i="98"/>
  <c r="E12" i="98" s="1"/>
  <c r="H12" i="98"/>
  <c r="J12" i="98" s="1"/>
  <c r="I11" i="98"/>
  <c r="E11" i="98" s="1"/>
  <c r="H11" i="98"/>
  <c r="D11" i="98" s="1"/>
  <c r="F11" i="98" s="1"/>
  <c r="I10" i="98"/>
  <c r="E10" i="98" s="1"/>
  <c r="H10" i="98"/>
  <c r="J10" i="98" s="1"/>
  <c r="I9" i="98"/>
  <c r="E9" i="98" s="1"/>
  <c r="H9" i="98"/>
  <c r="D9" i="98" s="1"/>
  <c r="F22" i="97" l="1"/>
  <c r="F15" i="98"/>
  <c r="J16" i="98"/>
  <c r="J14" i="98"/>
  <c r="J18" i="98"/>
  <c r="F21" i="97"/>
  <c r="D30" i="97"/>
  <c r="J9" i="98"/>
  <c r="D10" i="98"/>
  <c r="F10" i="98" s="1"/>
  <c r="J11" i="98"/>
  <c r="D12" i="98"/>
  <c r="F12" i="98" s="1"/>
  <c r="J13" i="98"/>
  <c r="D14" i="98"/>
  <c r="F14" i="98" s="1"/>
  <c r="J15" i="98"/>
  <c r="D16" i="98"/>
  <c r="F16" i="98" s="1"/>
  <c r="J17" i="98"/>
  <c r="D18" i="98"/>
  <c r="F18" i="98" s="1"/>
  <c r="J19" i="98"/>
  <c r="D20" i="98"/>
  <c r="F20" i="98" s="1"/>
  <c r="J21" i="98"/>
  <c r="D22" i="98"/>
  <c r="F22" i="98" s="1"/>
  <c r="J23" i="98"/>
  <c r="D24" i="98"/>
  <c r="F24" i="98" s="1"/>
  <c r="J7" i="97"/>
  <c r="F26" i="97"/>
  <c r="J15" i="97"/>
  <c r="J14" i="97"/>
  <c r="F14" i="97"/>
  <c r="D12" i="99"/>
  <c r="F7" i="99"/>
  <c r="E36" i="99"/>
  <c r="F12" i="99"/>
  <c r="F28" i="99"/>
  <c r="D28" i="99"/>
  <c r="F24" i="97"/>
  <c r="E10" i="97"/>
  <c r="J27" i="97"/>
  <c r="J26" i="97"/>
  <c r="J19" i="97"/>
  <c r="J18" i="97"/>
  <c r="J11" i="97"/>
  <c r="E27" i="97"/>
  <c r="F28" i="97"/>
  <c r="F27" i="97"/>
  <c r="F10" i="97"/>
  <c r="F12" i="97"/>
  <c r="F8" i="97"/>
  <c r="J28" i="97"/>
  <c r="J25" i="97"/>
  <c r="J24" i="97"/>
  <c r="J21" i="97"/>
  <c r="J20" i="97"/>
  <c r="J17" i="97"/>
  <c r="J16" i="97"/>
  <c r="J13" i="97"/>
  <c r="J12" i="97"/>
  <c r="J9" i="97"/>
  <c r="J8" i="97"/>
  <c r="E23" i="97"/>
  <c r="F23" i="97" s="1"/>
  <c r="E19" i="97"/>
  <c r="F19" i="97" s="1"/>
  <c r="E17" i="97"/>
  <c r="F17" i="97" s="1"/>
  <c r="E15" i="97"/>
  <c r="F15" i="97" s="1"/>
  <c r="E13" i="97"/>
  <c r="F13" i="97" s="1"/>
  <c r="E11" i="97"/>
  <c r="F11" i="97" s="1"/>
  <c r="E9" i="97"/>
  <c r="F9" i="97" s="1"/>
  <c r="E29" i="98"/>
  <c r="J26" i="98"/>
  <c r="D26" i="98"/>
  <c r="F26" i="98" s="1"/>
  <c r="F9" i="98"/>
  <c r="I47" i="95"/>
  <c r="H47" i="95"/>
  <c r="J32" i="97"/>
  <c r="J31" i="97"/>
  <c r="F29" i="98" l="1"/>
  <c r="D29" i="98"/>
  <c r="D36" i="99"/>
  <c r="F36" i="99"/>
  <c r="E30" i="97"/>
  <c r="F7" i="97"/>
  <c r="F30" i="97" s="1"/>
  <c r="I13" i="96" l="1"/>
  <c r="E13" i="96" s="1"/>
  <c r="H13" i="96"/>
  <c r="D13" i="96" s="1"/>
  <c r="F13" i="96" s="1"/>
  <c r="I12" i="96"/>
  <c r="H12" i="96"/>
  <c r="E12" i="96"/>
  <c r="I11" i="96"/>
  <c r="E11" i="96" s="1"/>
  <c r="H11" i="96"/>
  <c r="D11" i="96" s="1"/>
  <c r="I19" i="96"/>
  <c r="H19" i="96"/>
  <c r="E19" i="96"/>
  <c r="P18" i="96"/>
  <c r="I18" i="96" s="1"/>
  <c r="E18" i="96" s="1"/>
  <c r="O18" i="96"/>
  <c r="H18" i="96" s="1"/>
  <c r="E16" i="96"/>
  <c r="D16" i="96"/>
  <c r="F11" i="96" l="1"/>
  <c r="J19" i="96"/>
  <c r="J12" i="96"/>
  <c r="K12" i="96" s="1"/>
  <c r="D19" i="96"/>
  <c r="F19" i="96" s="1"/>
  <c r="J18" i="96"/>
  <c r="D18" i="96"/>
  <c r="J11" i="96"/>
  <c r="K11" i="96" s="1"/>
  <c r="J13" i="96"/>
  <c r="K13" i="96" s="1"/>
  <c r="D12" i="96"/>
  <c r="F12" i="96" s="1"/>
  <c r="F18" i="96"/>
  <c r="J25" i="96" l="1"/>
  <c r="J24" i="96"/>
  <c r="I20" i="96"/>
  <c r="H20" i="96"/>
  <c r="D20" i="96" s="1"/>
  <c r="E20" i="96"/>
  <c r="I17" i="96"/>
  <c r="E17" i="96" s="1"/>
  <c r="H17" i="96"/>
  <c r="D17" i="96" s="1"/>
  <c r="J16" i="96"/>
  <c r="F16" i="96"/>
  <c r="I15" i="96"/>
  <c r="H15" i="96"/>
  <c r="D15" i="96" s="1"/>
  <c r="E15" i="96"/>
  <c r="I14" i="96"/>
  <c r="H14" i="96"/>
  <c r="D14" i="96" s="1"/>
  <c r="E14" i="96"/>
  <c r="I10" i="96"/>
  <c r="E10" i="96" s="1"/>
  <c r="H10" i="96"/>
  <c r="D10" i="96" s="1"/>
  <c r="I9" i="96"/>
  <c r="E9" i="96" s="1"/>
  <c r="H9" i="96"/>
  <c r="D9" i="96" s="1"/>
  <c r="E23" i="96" l="1"/>
  <c r="D23" i="96"/>
  <c r="F10" i="96"/>
  <c r="F15" i="96"/>
  <c r="F14" i="96"/>
  <c r="F17" i="96"/>
  <c r="F20" i="96"/>
  <c r="F9" i="96"/>
  <c r="J9" i="96"/>
  <c r="J10" i="96"/>
  <c r="J14" i="96"/>
  <c r="J15" i="96"/>
  <c r="J17" i="96"/>
  <c r="J20" i="96"/>
  <c r="F23" i="96" l="1"/>
  <c r="I48" i="95"/>
  <c r="E48" i="95" s="1"/>
  <c r="H48" i="95"/>
  <c r="E47" i="95"/>
  <c r="E51" i="95" s="1"/>
  <c r="J48" i="95" l="1"/>
  <c r="J47" i="95"/>
  <c r="D47" i="95"/>
  <c r="D48" i="95"/>
  <c r="F48" i="95" s="1"/>
  <c r="H35" i="95"/>
  <c r="D35" i="95" s="1"/>
  <c r="I35" i="95"/>
  <c r="E35" i="95" s="1"/>
  <c r="I34" i="95"/>
  <c r="H34" i="95"/>
  <c r="D34" i="95" s="1"/>
  <c r="E34" i="95"/>
  <c r="J33" i="95"/>
  <c r="E33" i="95"/>
  <c r="D33" i="95"/>
  <c r="F47" i="95" l="1"/>
  <c r="F51" i="95" s="1"/>
  <c r="D51" i="95"/>
  <c r="F33" i="95"/>
  <c r="F34" i="95"/>
  <c r="F35" i="95"/>
  <c r="J35" i="95"/>
  <c r="J34" i="95"/>
  <c r="J32" i="95" l="1"/>
  <c r="E32" i="95"/>
  <c r="D32" i="95"/>
  <c r="I31" i="95"/>
  <c r="H31" i="95"/>
  <c r="E31" i="95"/>
  <c r="I30" i="95"/>
  <c r="E30" i="95" s="1"/>
  <c r="H30" i="95"/>
  <c r="I29" i="95"/>
  <c r="E29" i="95" s="1"/>
  <c r="H29" i="95"/>
  <c r="D29" i="95" s="1"/>
  <c r="I28" i="95"/>
  <c r="E28" i="95" s="1"/>
  <c r="H28" i="95"/>
  <c r="I27" i="95"/>
  <c r="E27" i="95" s="1"/>
  <c r="H27" i="95"/>
  <c r="I25" i="95"/>
  <c r="E25" i="95" s="1"/>
  <c r="H25" i="95"/>
  <c r="J24" i="95"/>
  <c r="E24" i="95"/>
  <c r="D24" i="95"/>
  <c r="J23" i="95"/>
  <c r="E23" i="95"/>
  <c r="D23" i="95"/>
  <c r="I22" i="95"/>
  <c r="E22" i="95" s="1"/>
  <c r="H22" i="95"/>
  <c r="I21" i="95"/>
  <c r="E21" i="95" s="1"/>
  <c r="H21" i="95"/>
  <c r="H20" i="95"/>
  <c r="D20" i="95" s="1"/>
  <c r="I20" i="95"/>
  <c r="E20" i="95" s="1"/>
  <c r="J21" i="95" l="1"/>
  <c r="F23" i="95"/>
  <c r="J22" i="95"/>
  <c r="D22" i="95"/>
  <c r="F22" i="95" s="1"/>
  <c r="J20" i="95"/>
  <c r="F20" i="95"/>
  <c r="J30" i="95"/>
  <c r="D30" i="95"/>
  <c r="F30" i="95" s="1"/>
  <c r="F29" i="95"/>
  <c r="D21" i="95"/>
  <c r="F21" i="95" s="1"/>
  <c r="F24" i="95"/>
  <c r="J25" i="95"/>
  <c r="D25" i="95"/>
  <c r="F25" i="95" s="1"/>
  <c r="J27" i="95"/>
  <c r="J28" i="95"/>
  <c r="J29" i="95"/>
  <c r="D27" i="95"/>
  <c r="F27" i="95" s="1"/>
  <c r="D28" i="95"/>
  <c r="J31" i="95"/>
  <c r="F32" i="95"/>
  <c r="D31" i="95"/>
  <c r="F31" i="95" s="1"/>
  <c r="F28" i="95"/>
  <c r="I19" i="95" l="1"/>
  <c r="H19" i="95"/>
  <c r="D19" i="95" s="1"/>
  <c r="E19" i="95"/>
  <c r="E18" i="95"/>
  <c r="D18" i="95"/>
  <c r="J18" i="95"/>
  <c r="I17" i="95"/>
  <c r="E17" i="95" s="1"/>
  <c r="H17" i="95"/>
  <c r="D17" i="95" s="1"/>
  <c r="I15" i="95"/>
  <c r="H15" i="95"/>
  <c r="D15" i="95" s="1"/>
  <c r="E15" i="95"/>
  <c r="F15" i="95" l="1"/>
  <c r="F17" i="95"/>
  <c r="J17" i="95"/>
  <c r="F18" i="95"/>
  <c r="F19" i="95"/>
  <c r="J19" i="95"/>
  <c r="J15" i="95"/>
  <c r="I14" i="95" l="1"/>
  <c r="E14" i="95" s="1"/>
  <c r="H14" i="95"/>
  <c r="D14" i="95" s="1"/>
  <c r="H13" i="95"/>
  <c r="D13" i="95" s="1"/>
  <c r="I13" i="95"/>
  <c r="E13" i="95" s="1"/>
  <c r="I12" i="95"/>
  <c r="E12" i="95" s="1"/>
  <c r="H12" i="95"/>
  <c r="D12" i="95" s="1"/>
  <c r="I11" i="95"/>
  <c r="E11" i="95" s="1"/>
  <c r="H11" i="95"/>
  <c r="D11" i="95" s="1"/>
  <c r="F14" i="95" l="1"/>
  <c r="F12" i="95"/>
  <c r="F11" i="95"/>
  <c r="J11" i="95"/>
  <c r="J12" i="95"/>
  <c r="J13" i="95"/>
  <c r="J14" i="95"/>
  <c r="F13" i="95"/>
  <c r="I10" i="95" l="1"/>
  <c r="E10" i="95" s="1"/>
  <c r="H10" i="95"/>
  <c r="J40" i="95"/>
  <c r="J39" i="95"/>
  <c r="I26" i="95"/>
  <c r="E26" i="95" s="1"/>
  <c r="H26" i="95"/>
  <c r="I16" i="95"/>
  <c r="H16" i="95"/>
  <c r="D16" i="95" s="1"/>
  <c r="E16" i="95"/>
  <c r="I9" i="95"/>
  <c r="H9" i="95"/>
  <c r="D9" i="95" s="1"/>
  <c r="E9" i="95"/>
  <c r="E38" i="95" l="1"/>
  <c r="F16" i="95"/>
  <c r="J10" i="95"/>
  <c r="D26" i="95"/>
  <c r="F26" i="95" s="1"/>
  <c r="D10" i="95"/>
  <c r="F10" i="95" s="1"/>
  <c r="F9" i="95"/>
  <c r="J9" i="95"/>
  <c r="J16" i="95"/>
  <c r="J26" i="95"/>
  <c r="I16" i="94"/>
  <c r="E16" i="94" s="1"/>
  <c r="I15" i="94"/>
  <c r="E15" i="94" s="1"/>
  <c r="I14" i="94"/>
  <c r="E14" i="94" s="1"/>
  <c r="I13" i="94"/>
  <c r="E13" i="94" s="1"/>
  <c r="H16" i="94"/>
  <c r="D16" i="94" s="1"/>
  <c r="H15" i="94"/>
  <c r="D15" i="94" s="1"/>
  <c r="H14" i="94"/>
  <c r="D14" i="94" s="1"/>
  <c r="H13" i="94"/>
  <c r="D13" i="94" s="1"/>
  <c r="I10" i="94"/>
  <c r="E10" i="94" s="1"/>
  <c r="H10" i="94"/>
  <c r="D10" i="94" s="1"/>
  <c r="I19" i="94"/>
  <c r="H19" i="94"/>
  <c r="D19" i="94" s="1"/>
  <c r="E19" i="94"/>
  <c r="I18" i="94"/>
  <c r="E18" i="94" s="1"/>
  <c r="H18" i="94"/>
  <c r="D18" i="94" s="1"/>
  <c r="F18" i="94" s="1"/>
  <c r="I17" i="94"/>
  <c r="H17" i="94"/>
  <c r="D17" i="94" s="1"/>
  <c r="E17" i="94"/>
  <c r="F10" i="94" l="1"/>
  <c r="F17" i="94"/>
  <c r="F19" i="94"/>
  <c r="F38" i="95"/>
  <c r="D38" i="95"/>
  <c r="J18" i="94"/>
  <c r="K18" i="94" s="1"/>
  <c r="J10" i="94"/>
  <c r="J17" i="94"/>
  <c r="J19" i="94"/>
  <c r="K19" i="94" s="1"/>
  <c r="J24" i="94" l="1"/>
  <c r="J23" i="94"/>
  <c r="J16" i="94"/>
  <c r="J14" i="94"/>
  <c r="J13" i="94"/>
  <c r="I12" i="94"/>
  <c r="E12" i="94" s="1"/>
  <c r="H12" i="94"/>
  <c r="D12" i="94" s="1"/>
  <c r="I11" i="94"/>
  <c r="E11" i="94" s="1"/>
  <c r="H11" i="94"/>
  <c r="D11" i="94" s="1"/>
  <c r="I9" i="94"/>
  <c r="E9" i="94" s="1"/>
  <c r="H9" i="94"/>
  <c r="D9" i="94" s="1"/>
  <c r="F15" i="94" l="1"/>
  <c r="F14" i="94"/>
  <c r="F16" i="94"/>
  <c r="E22" i="94"/>
  <c r="F11" i="94"/>
  <c r="F12" i="94"/>
  <c r="F13" i="94"/>
  <c r="D22" i="94"/>
  <c r="F9" i="94"/>
  <c r="J9" i="94"/>
  <c r="J11" i="94"/>
  <c r="J12" i="94"/>
  <c r="J15" i="94"/>
  <c r="E14" i="93"/>
  <c r="D14" i="93"/>
  <c r="E13" i="93"/>
  <c r="D13" i="93"/>
  <c r="E12" i="93"/>
  <c r="E16" i="93"/>
  <c r="D16" i="93"/>
  <c r="E18" i="93"/>
  <c r="D18" i="93"/>
  <c r="E15" i="93"/>
  <c r="D15" i="93"/>
  <c r="F11" i="93"/>
  <c r="F22" i="94" l="1"/>
  <c r="D12" i="93"/>
  <c r="D10" i="93"/>
  <c r="F12" i="93"/>
  <c r="E10" i="93"/>
  <c r="F10" i="93" s="1"/>
  <c r="F14" i="93"/>
  <c r="F13" i="93"/>
  <c r="F18" i="93" l="1"/>
  <c r="E20" i="93"/>
  <c r="D19" i="93"/>
  <c r="E19" i="93"/>
  <c r="E17" i="93"/>
  <c r="F15" i="93"/>
  <c r="E9" i="93"/>
  <c r="E26" i="93" l="1"/>
  <c r="D9" i="93"/>
  <c r="F19" i="93"/>
  <c r="D20" i="93"/>
  <c r="F20" i="93" s="1"/>
  <c r="D17" i="93"/>
  <c r="F17" i="93" s="1"/>
  <c r="F16" i="93"/>
  <c r="D26" i="93" l="1"/>
  <c r="F9" i="93"/>
  <c r="F26" i="93" s="1"/>
  <c r="J7" i="114" l="1"/>
  <c r="F7" i="114" l="1"/>
  <c r="F26" i="114" s="1"/>
</calcChain>
</file>

<file path=xl/sharedStrings.xml><?xml version="1.0" encoding="utf-8"?>
<sst xmlns="http://schemas.openxmlformats.org/spreadsheetml/2006/main" count="1418" uniqueCount="341">
  <si>
    <t>NOMBRE</t>
  </si>
  <si>
    <t>FIRMA</t>
  </si>
  <si>
    <t>ENRIQUE BARCENAS AVILA</t>
  </si>
  <si>
    <t>TOBIAS DIAZ SALDAÑA</t>
  </si>
  <si>
    <t>SALVADOR GONZALEZ VAZQUEZ</t>
  </si>
  <si>
    <t>FERNANDO VAZQUEZ FLORES</t>
  </si>
  <si>
    <t>NOMBRAMIENTO</t>
  </si>
  <si>
    <t>MEREGILDO OLMOS GALLEGOS</t>
  </si>
  <si>
    <t>JORGE ARMANDO GONZALEZ VAZQUEZ</t>
  </si>
  <si>
    <t>PASCUAL BARCENAS AVILA</t>
  </si>
  <si>
    <t>ISR</t>
  </si>
  <si>
    <t>AUXILIAR</t>
  </si>
  <si>
    <t>AUX. ASEO PUBLICO</t>
  </si>
  <si>
    <t>CHOFER DE ASEO PUBLICO</t>
  </si>
  <si>
    <t>ROGELIO JIMENEZ DE LA CRUZ</t>
  </si>
  <si>
    <t>I. BRUTO</t>
  </si>
  <si>
    <t>NETO A RECIBIR</t>
  </si>
  <si>
    <t>ROBERTO CARLOS DELGADILLO SANCHEZ</t>
  </si>
  <si>
    <t>X</t>
  </si>
  <si>
    <t>CHOFER ASEO PUBLICO</t>
  </si>
  <si>
    <t>ENCARGADO PLANTA POTABILIZADORA</t>
  </si>
  <si>
    <t>AUXILIAR ASEO PUBLICO</t>
  </si>
  <si>
    <t>AYUDANTE DE ASEO PUBLICO</t>
  </si>
  <si>
    <t>ENC. PLANTA POT.</t>
  </si>
  <si>
    <t xml:space="preserve">MUNICIPIO DE IXTLAHUACAN DEL RIO, JALISCO. </t>
  </si>
  <si>
    <t xml:space="preserve">NOMINA DE TIEMPOS EXTRA A PERSONAL DE BASE CON CARÁCTER PERMANENTE ADSCRITOS A LOS DISTINTOS DEPARTAMENTOS EN ESTE H. </t>
  </si>
  <si>
    <t>JEFE DE DEPARTAMENTO DEL REGISTRO CIVIL</t>
  </si>
  <si>
    <r>
      <t xml:space="preserve"> </t>
    </r>
    <r>
      <rPr>
        <b/>
        <i/>
        <sz val="8"/>
        <rFont val="Arial"/>
        <family val="2"/>
      </rPr>
      <t>(SEGÚN REPORTES QUE EMITE EL PERSONAL DE RECURSOS HUMANOS).</t>
    </r>
  </si>
  <si>
    <t>OJO RECIBOS 36062,35836,35816 y nv</t>
  </si>
  <si>
    <t xml:space="preserve">OLIVA CAMARENA MARIA GUADALUPE </t>
  </si>
  <si>
    <t>OFICIAL DE REGISTRO CIVIL SAN ANTONIO</t>
  </si>
  <si>
    <t>ALMARAZ MARTINEZ MARTIN</t>
  </si>
  <si>
    <t>DEPARTAMENTO DE MANTENIMIENTO VEHICULAR</t>
  </si>
  <si>
    <t>(DOCE MIL DOSCIENTOS CUARENTA Y CINCO PESOS 36/100 M.N.)</t>
  </si>
  <si>
    <t>IXTLAHUACAN DEL RIO JALISCO A 15 DE ENERO DE 2019</t>
  </si>
  <si>
    <t xml:space="preserve">AYUNTAMIENTO Y QUE  CORRESPONDEN A LA PRIMER QUINCENA DE ENERO DE 2019 </t>
  </si>
  <si>
    <t>HECTOR MIGUEL MARTINEZ GONZALEZ</t>
  </si>
  <si>
    <t>CHOFER</t>
  </si>
  <si>
    <t>SALVADOR CORONA OLVERA</t>
  </si>
  <si>
    <t>JORGE ENRIQUE ALVAREZ DEL CASTILLO SANCHEZ</t>
  </si>
  <si>
    <t>CHOFER MINIBUS ESCOLAR</t>
  </si>
  <si>
    <t>ISA CARRILLO VILLALOBOS</t>
  </si>
  <si>
    <t xml:space="preserve">GARCIA ALONSO ELENA DE LA CRUZ </t>
  </si>
  <si>
    <t>CAJERA</t>
  </si>
  <si>
    <t xml:space="preserve">GUTIERREZ MARTINEZ GLORIA </t>
  </si>
  <si>
    <t>AUX ADMINISTRATIVO  C DE CATASTRO</t>
  </si>
  <si>
    <t xml:space="preserve">BUGARIN VELIZ JESUS EMANUEL </t>
  </si>
  <si>
    <t>CAJERO</t>
  </si>
  <si>
    <t xml:space="preserve">SANCHEZ VELIZ MAURO </t>
  </si>
  <si>
    <t>UNIDAD DE APREMIOS</t>
  </si>
  <si>
    <t xml:space="preserve">AYUNTAMIENTO Y QUE  CORRESPONDEN A LA SEGUNDA QUINCENA DE ENERO DE 2019 </t>
  </si>
  <si>
    <t>(DIEZ MIL DOSCIENTOS SETENTA PESOS 80/100 M.N.)</t>
  </si>
  <si>
    <t>IXTLAHUACAN DEL RIO JALISCO A 31 DE ENERO DE 2019</t>
  </si>
  <si>
    <t xml:space="preserve">PINTO GONNZALEZ MARIA DE LA LUZ  </t>
  </si>
  <si>
    <t xml:space="preserve">RENTERIA CAMACHO ALEJANDRA  </t>
  </si>
  <si>
    <t>OFICIAL REGISTRO CIVIL TREJOS</t>
  </si>
  <si>
    <t xml:space="preserve">ABUNDIS MUÑOZ ALFREDO </t>
  </si>
  <si>
    <t>CUADRILLA AGUA POTABLE Y ALCAN</t>
  </si>
  <si>
    <t xml:space="preserve">BARAJAS RAMIREZ ANTONIO </t>
  </si>
  <si>
    <t xml:space="preserve">AYUDANTE PARQUES Y JARDINES </t>
  </si>
  <si>
    <t>ROBERTO CARBAJAL HERNANDEZ</t>
  </si>
  <si>
    <t>FONTANERO</t>
  </si>
  <si>
    <t xml:space="preserve">CERVANTES PEREZ JOSE OSCAR </t>
  </si>
  <si>
    <t>PODADOR PARQUES Y JARDINES</t>
  </si>
  <si>
    <t xml:space="preserve">GARCIA SANCHEZ SALVADOR </t>
  </si>
  <si>
    <t xml:space="preserve">AUXILIAR ADMINISTRATIVO A   (ALUMBRADO PUBLICO) </t>
  </si>
  <si>
    <t xml:space="preserve">GOMEZ FLORES JAVIER </t>
  </si>
  <si>
    <t>PODADOR DE PARQUES U JARDINES</t>
  </si>
  <si>
    <t xml:space="preserve">GONZALEZ LIMON JOSE CARLOS </t>
  </si>
  <si>
    <t>UNIDAD DE REHABILITACION DE ESCUELAS</t>
  </si>
  <si>
    <t xml:space="preserve">GUTIERREZ JIMENEZ JOSE FRANCO </t>
  </si>
  <si>
    <t>JARDINERO A</t>
  </si>
  <si>
    <t xml:space="preserve">MARQUEZ ROMERO GABRIEL </t>
  </si>
  <si>
    <t>CHOFER ACARREADOR RASTRO</t>
  </si>
  <si>
    <t xml:space="preserve">MEJIA LOPEZ ARNULFO </t>
  </si>
  <si>
    <t>AYU. PARQUES Y JARDINES</t>
  </si>
  <si>
    <t xml:space="preserve">MORA GARCIA ADAN </t>
  </si>
  <si>
    <t>DEPARTAMENTO DE MANTENIMIENTO EN GENERAL</t>
  </si>
  <si>
    <t xml:space="preserve">SANCHEZ RAMIREZ RAUL </t>
  </si>
  <si>
    <t>AUXILIAR ADMINISTRATIVO C  MANTENIMIENTO</t>
  </si>
  <si>
    <t xml:space="preserve">SANDOVAL OLIVA JOSE FAVIAN </t>
  </si>
  <si>
    <t>AUX DE RASTRO</t>
  </si>
  <si>
    <t>JORGE YAÑEZ JIMENEZ</t>
  </si>
  <si>
    <t>AYUDANTE SERVICIOS PUBLICOS</t>
  </si>
  <si>
    <t>JOSE MANUEL YAÑEZ JIMENEZ</t>
  </si>
  <si>
    <t xml:space="preserve">MERCADO GOMEZ RICARDO </t>
  </si>
  <si>
    <t xml:space="preserve">JEFE DE DEPARTAMENTO DE PROYECTOS </t>
  </si>
  <si>
    <t>(VEINTIUN MIL OCHOCIENTOS CUARENTA Y UN PESOS 46/100 M.N.)</t>
  </si>
  <si>
    <t>IXTLAHUACAN DEL RIO JALISCO A 15 DE FEBRERO DE 2019</t>
  </si>
  <si>
    <t xml:space="preserve">AYUNTAMIENTO Y QUE  CORRESPONDEN A LA PRIMER QUINCENA DE FEBRERO DE 2019 </t>
  </si>
  <si>
    <t>POLICIA DE LINEA</t>
  </si>
  <si>
    <t xml:space="preserve">RAMIREZ GUZMAN JUAN JOSE </t>
  </si>
  <si>
    <t xml:space="preserve">NUÑEZ URIBE ARNULFO </t>
  </si>
  <si>
    <t>AYUDANTE DE OBRA</t>
  </si>
  <si>
    <t xml:space="preserve">ALVAREZ PLASCENCIA OSCAR ALBERTO </t>
  </si>
  <si>
    <t>AUX DE OBRA</t>
  </si>
  <si>
    <t xml:space="preserve">AYUNTAMIENTO Y QUE  CORRESPONDEN A LA SEGUNDA QUINCENA DE FEBRERO DE 2019 </t>
  </si>
  <si>
    <t>(VEINTICUATRO MIL TRESCIENTOS VEINTISEIS PESOS 13/100 M.N.)</t>
  </si>
  <si>
    <t>IXTLAHUACAN DEL RIO JALISCO A 28 DE FEBRERO DE 2019</t>
  </si>
  <si>
    <t xml:space="preserve">BASULTO GALLARDO J. JESUS </t>
  </si>
  <si>
    <t xml:space="preserve">PEREZ ESPINOSA DAVID </t>
  </si>
  <si>
    <t>SUMAS</t>
  </si>
  <si>
    <t xml:space="preserve">NOMINA DE TIEMPO EXTRA A PERSONAL DE SEGURIDAD CIUDADANA DE ESTE H. </t>
  </si>
  <si>
    <t xml:space="preserve">AYUNTAMIENTO Y QUE  CORRESPONDEN A LA PRIMER QUINCENA DE MARZO DE 2019 </t>
  </si>
  <si>
    <t>(SETECIENTOS OCHENTA Y DOS PESOS 95/100 M.N.)</t>
  </si>
  <si>
    <t xml:space="preserve"> (SEGÚN REPORTES QUE EMITE EL PERSONAL DE RECURSOS HUMANOS).</t>
  </si>
  <si>
    <t>IXTLAHUACAN DEL RIO JALISCO A 15 DE MARZO DE 2019</t>
  </si>
  <si>
    <t xml:space="preserve">RODRIGUEZ GOMEZ MA GUADALUPE </t>
  </si>
  <si>
    <t xml:space="preserve">ASISTENTE DE DEPARTAMENTO   </t>
  </si>
  <si>
    <t xml:space="preserve">MOYA GOMEZ RIGOBERTO </t>
  </si>
  <si>
    <t>ENC. MANTENIMIENTO UNIDAD DEPORTIVA</t>
  </si>
  <si>
    <t xml:space="preserve">RUVALCABA RUVALCABA LORENA </t>
  </si>
  <si>
    <t>INTENDENTE B EN LA PLAZA</t>
  </si>
  <si>
    <t xml:space="preserve">GOMEZ HUERTA JOSE LUIS </t>
  </si>
  <si>
    <t xml:space="preserve">DEPARTAMENTO DE PARQUES UNIDADES DEPORTIVAS Y  JARDINES </t>
  </si>
  <si>
    <t xml:space="preserve">SANCHEZ HERNANDEZ MELITON </t>
  </si>
  <si>
    <t xml:space="preserve">AGUA POTABLE </t>
  </si>
  <si>
    <t xml:space="preserve">ABUNDIS NUÑEZ CARLOS </t>
  </si>
  <si>
    <t>CHOFER B CASA DE LA CULTURA</t>
  </si>
  <si>
    <t xml:space="preserve">ALATORRE BERMEJO SERGIO ARTURO </t>
  </si>
  <si>
    <t>REHABILITACION DE ESCUELAS</t>
  </si>
  <si>
    <t xml:space="preserve">CARRANZA VERDIN MARCO ANTONIO </t>
  </si>
  <si>
    <t>UNIDAD DE SUPERVICIÓN  DE OBRA</t>
  </si>
  <si>
    <t xml:space="preserve">SANDOVAL ADRIAN </t>
  </si>
  <si>
    <t>CHOFER B</t>
  </si>
  <si>
    <t>(DIEZ Y SEIS MIL SEICIENTOS VEINTE PESOS 26/100 M.N.)</t>
  </si>
  <si>
    <t>RECEPCION SECRETARIA C</t>
  </si>
  <si>
    <t xml:space="preserve">ALVAREZ DEL CASTILLO SANCHEZ JORGE ENRIQUE </t>
  </si>
  <si>
    <t>CHOFER DE CAMION ESCOLAR</t>
  </si>
  <si>
    <t xml:space="preserve">BARCENAS AVILA ENRIQUE </t>
  </si>
  <si>
    <t xml:space="preserve">CHOFER  DE CAMION DE BASURA </t>
  </si>
  <si>
    <t xml:space="preserve">CARBAJAL HERNANDEZ ROBERTO </t>
  </si>
  <si>
    <t xml:space="preserve">CARRILLO VILLALOBOS ISA </t>
  </si>
  <si>
    <t>BASURA</t>
  </si>
  <si>
    <t xml:space="preserve">CORONA OLVERA SALVADOR </t>
  </si>
  <si>
    <t xml:space="preserve">DELGADILLO SANCHEZ ROBERTO CARLOS </t>
  </si>
  <si>
    <t xml:space="preserve">DIAZ SALDAÑA TOBIAS </t>
  </si>
  <si>
    <t xml:space="preserve">GONZALEZ VAZQUEZ SALVADOR </t>
  </si>
  <si>
    <t xml:space="preserve">GUZMAN DELGADO MAYQUENA </t>
  </si>
  <si>
    <t>AUX ADMINISTRATIVO A</t>
  </si>
  <si>
    <t xml:space="preserve">JIMENEZ DE LA CRUZ ROGELIO </t>
  </si>
  <si>
    <t xml:space="preserve">MARTINEZ GONZALEZ HECTOR MIGUEL </t>
  </si>
  <si>
    <t>YAÑEZ JIMENEZ JORGE</t>
  </si>
  <si>
    <t xml:space="preserve">MARTINEZ NERY RAYMUNDO </t>
  </si>
  <si>
    <t>MECANICO A</t>
  </si>
  <si>
    <t xml:space="preserve">CORONADO ENCISO JESUS GUADALUPE </t>
  </si>
  <si>
    <t>MEDICO B</t>
  </si>
  <si>
    <t xml:space="preserve">LOMELI  GUTIERREZ JOSE DE JESUS </t>
  </si>
  <si>
    <t xml:space="preserve">NAVARRO MORALES JENNIFER </t>
  </si>
  <si>
    <t>VILLALPANDO DOMINGUEZ ALDO IVAN</t>
  </si>
  <si>
    <t xml:space="preserve">AYUNTAMIENTO Y QUE  CORRESPONDEN A LA SEGUNDA QUINCENA DE MARZO DE 2019 </t>
  </si>
  <si>
    <t>(DIEZ Y OCHO MIL SEISCIENTOS DIEZ Y OCHO PESOS 70/100 M.N.)</t>
  </si>
  <si>
    <t>IXTLAHUACAN DEL RIO JALISCO A 31 DE MARZO DE 2019</t>
  </si>
  <si>
    <t xml:space="preserve">NOMINA DE TIEMPO EXTRA A PERSONAL DE BASE CON CARÁCTER PERMANENTE ADSCRITOS A LOS DISTINTOS DEPARTAMENTOS EN ESTE H. </t>
  </si>
  <si>
    <t xml:space="preserve">AYUNTAMIENTO Y QUE  CORRESPONDEN A LA PRIMER QUINCENA DE 2019 </t>
  </si>
  <si>
    <t xml:space="preserve">PINTO GONNZALEZ L.N MARIA DE LA LUZ  </t>
  </si>
  <si>
    <t xml:space="preserve">GONZALEZ VAZQUEZ JORGE ARMANDO </t>
  </si>
  <si>
    <t xml:space="preserve">VAZQUEZ FLORES FERNANDO </t>
  </si>
  <si>
    <t>MAHS701224</t>
  </si>
  <si>
    <t xml:space="preserve">MACIAS HERNANDEZ SALVADOR </t>
  </si>
  <si>
    <t xml:space="preserve">SANCHEZ DIAZ LORENZO </t>
  </si>
  <si>
    <t>SARP721019</t>
  </si>
  <si>
    <t xml:space="preserve">SANCHEZ ROJO JOSE PEDRO </t>
  </si>
  <si>
    <t>SASM761217</t>
  </si>
  <si>
    <t xml:space="preserve">SANCHEZ SANCHEZ MA. MAGDALENA </t>
  </si>
  <si>
    <t>TOTALES</t>
  </si>
  <si>
    <t>(DOS MIL DOSCIENTOS VENTITRES PESOS 58/100 M.N.)</t>
  </si>
  <si>
    <t>IXTLAHUACAN DEL RIO JALISCO A 15 DE ABRIL DE 2019</t>
  </si>
  <si>
    <t>(UN MIL QUINIENTOS SESENTA Y CINCO PESOS 90/100 M.N.)</t>
  </si>
  <si>
    <t xml:space="preserve">AYUNTAMIENTO Y QUE  CORRESPONDEN A LA SEGUNDA QUINCENA DE ABRIL DE 2019 </t>
  </si>
  <si>
    <t>(NUEVE MIL OCHOCIENTOS CINCUENTA Y SEIS PESOS 10/100 M.N.)</t>
  </si>
  <si>
    <t>IXTLAHUACAN DEL RIO JALISCO A 30 DE ABRIL DE 2019</t>
  </si>
  <si>
    <t xml:space="preserve">AYUNTAMIENTO Y QUE  CORRESPONDEN A LA PRIMER  QUINCENA DE MAYO DE 2019 </t>
  </si>
  <si>
    <t xml:space="preserve">MUÑOZ RODRIGUEZ CHRISTIAN EDUARDO </t>
  </si>
  <si>
    <t>SECRETARIO C</t>
  </si>
  <si>
    <t xml:space="preserve">DURAN IBARRA CRISTINA </t>
  </si>
  <si>
    <t>IBARRA FIGUEROA LUIS ALFREDO</t>
  </si>
  <si>
    <t>AUXILIAR DE INTENDENCIA B</t>
  </si>
  <si>
    <t xml:space="preserve">MEDINA GARCIA ORFIL </t>
  </si>
  <si>
    <t>(VEINTIDOS MIL QUINIENTOS SETENTA Y SIETE PESOS 43/100 M.N.)</t>
  </si>
  <si>
    <t>IXTLAHUACAN DEL RIO JALISCO A 15 DE MAYO DE 2019</t>
  </si>
  <si>
    <t xml:space="preserve">AYUNTAMIENTO Y QUE  CORRESPONDEN A LA SEGUNDA  QUINCENA DE MAYO DE 2019 </t>
  </si>
  <si>
    <t xml:space="preserve">GOMEZ LOZA SANTIAGO </t>
  </si>
  <si>
    <t>AYUDANTE SIST. AGUA</t>
  </si>
  <si>
    <t xml:space="preserve">GUTIERREZ CALVILLO PABLO </t>
  </si>
  <si>
    <t>IBARRA DELGADO MARIA</t>
  </si>
  <si>
    <t>AUXILIAR DE INTENDENCIA DE BAÑOS PUBLICOS</t>
  </si>
  <si>
    <t xml:space="preserve">RAMIREZ SANCHEZ JUAN MANUEL </t>
  </si>
  <si>
    <t xml:space="preserve">JEFE DEL DEPARTAMENTO DE AGUA POTABLE </t>
  </si>
  <si>
    <t xml:space="preserve">ESPINOZA GARZON HEREDERIO </t>
  </si>
  <si>
    <t>OPERADOR MOTOCONFORMADORA 12H</t>
  </si>
  <si>
    <t xml:space="preserve">GARCIA DE ANDA SERGIO </t>
  </si>
  <si>
    <t>OPERADOR PAYLODER</t>
  </si>
  <si>
    <t xml:space="preserve">GARCIA HERNANDEZ JOSE LUIS </t>
  </si>
  <si>
    <t>CHOFER CAMION VOLTEO KEENGORTH</t>
  </si>
  <si>
    <t xml:space="preserve">MERCADO SANCHEZ JAVIER </t>
  </si>
  <si>
    <t>CHOFER TRACTO CAMION KEENGORTH</t>
  </si>
  <si>
    <t xml:space="preserve">RODRIGUEZ GONZALEZ GUSTAVO </t>
  </si>
  <si>
    <t>OPERADOR EXCAVADORA 320</t>
  </si>
  <si>
    <t>TORRES VAZQUEZ OSCAR</t>
  </si>
  <si>
    <t>CHOFER VOLTEO VOLVO ROJO 14M3</t>
  </si>
  <si>
    <t>(VEINTITRES MIL SEICIENTOS SIETE PESOS 74/100 M.N.)</t>
  </si>
  <si>
    <t>IXTLAHUACAN DEL RIO JALISCO A 31 DE MAYO DE 2019</t>
  </si>
  <si>
    <t xml:space="preserve">FLORES RUVALCABA ROBERTO ALEJANDRO </t>
  </si>
  <si>
    <t>RAAA720508</t>
  </si>
  <si>
    <t xml:space="preserve">RAMIREZ ARELLANO JOSE ANTONIO </t>
  </si>
  <si>
    <t>TOYV610406</t>
  </si>
  <si>
    <t xml:space="preserve">TORRES YAÑEZ VICTORINO </t>
  </si>
  <si>
    <t>COMANDANTE</t>
  </si>
  <si>
    <t>(UN MIL SEISCIENTOS SIETE PESOS 05/100 M.N.)</t>
  </si>
  <si>
    <t>AYUNTAMIENTO Y QUE  CORRESPONDEN A LA PRIMER QUINCENA DE JUNIO 2019</t>
  </si>
  <si>
    <t>IXTLAHUACAN DEL RIO JALISCO A 15 DE JUNIO DE 2019</t>
  </si>
  <si>
    <t>(TRES MIL TRECIENTOS SETENTA Y UN PESOS 43/100 M.N.)</t>
  </si>
  <si>
    <t xml:space="preserve">ACERO VAZQUEZ ANA KARINA </t>
  </si>
  <si>
    <t>AGQA770503</t>
  </si>
  <si>
    <t xml:space="preserve">AGUIRRE QUEZADA ANDRES </t>
  </si>
  <si>
    <t>CAFM790119</t>
  </si>
  <si>
    <t xml:space="preserve">CAMACHO FLORES MARIO </t>
  </si>
  <si>
    <t xml:space="preserve">GONZALEZ GOMEZ LUIS ALBERTO </t>
  </si>
  <si>
    <t xml:space="preserve">ORTIZ MACIAS MARIA ELENA </t>
  </si>
  <si>
    <t>(CUATRO MIL TRESCIENTOS OCHENTA Y OCHO PESOS 53/100 M.N.)</t>
  </si>
  <si>
    <t xml:space="preserve">AYUNTAMIENTO Y QUE  CORRESPONDEN A LA SEGUNDA  QUINCENA DE JUNIO DE 2019 </t>
  </si>
  <si>
    <t xml:space="preserve">RAMIREZ MEDINA SAMUEL </t>
  </si>
  <si>
    <t>INTENDENTE C SAN ANTONIO</t>
  </si>
  <si>
    <t>(CATORCE MIL DOSCIENTOS CINCUENTA Y OCHO PESOS 74/100 M.N.)</t>
  </si>
  <si>
    <t>IXTLAHUACAN DEL RIO JALISCO A 30 DE JUNIO DE 2019</t>
  </si>
  <si>
    <t xml:space="preserve">AYUNTAMIENTO Y QUE  CORRESPONDEN A LA 1RA QUINCENA DE JULIO DE 2019 </t>
  </si>
  <si>
    <t xml:space="preserve">GUTIERREZ ESPARZA JUAN MANUEL </t>
  </si>
  <si>
    <t xml:space="preserve">MARTINES NERY PATRICIA </t>
  </si>
  <si>
    <t>SECRETARIO PARTICULAR</t>
  </si>
  <si>
    <t>CORDINADOR GENERAL DE SERVICIOS MUNICIPALES</t>
  </si>
  <si>
    <t xml:space="preserve">ESPINOZA SANCHEZ ALBERTO </t>
  </si>
  <si>
    <t xml:space="preserve">FLORES GONZALEZ EDUARDO </t>
  </si>
  <si>
    <t>AUX. AGUA POTABLE</t>
  </si>
  <si>
    <t xml:space="preserve"> JEFE DE DEPARTAMENTO DE PROVEDURIA</t>
  </si>
  <si>
    <t xml:space="preserve">CAMACHO MAYORAL JAIRO AARON </t>
  </si>
  <si>
    <t>TITULAR DEL MODULO DE MAQUINARIA</t>
  </si>
  <si>
    <t xml:space="preserve">ALVAREZ OROZCO CESAR ISMAEL </t>
  </si>
  <si>
    <t>OPERADOR C</t>
  </si>
  <si>
    <t>(VEINTICUATRO MIL DOSCIENTOS TREINTA Y SIETE PESOS 64/100 M.N.)</t>
  </si>
  <si>
    <t>IXTLAHUACAN DEL RIO JALISCO A 15 DE JULIO DE 2019</t>
  </si>
  <si>
    <t>IAGC961113CL4</t>
  </si>
  <si>
    <t>IBARRA GUTIERREZ CESAR</t>
  </si>
  <si>
    <t>(TRES MIL NOVECIENTOS CINCUENTA Y CINCO PESOS 91/100 M.N.)</t>
  </si>
  <si>
    <t xml:space="preserve">NOMINA DE TIEMPO EXTRA A PERSONAL DE BASE CON CARÁCTER PERMANENTE ADSCRITOS A SEGURIDAD PUBLICA DE ESTE H. </t>
  </si>
  <si>
    <t xml:space="preserve">AYUNTAMIENTO Y QUE  CORRESPONDEN A LA 2DA QUINCENA DE JULIO DE 2019 </t>
  </si>
  <si>
    <t>IXTLAHUACAN DEL RIO JALISCO A 31 DE JULIO DE 2019</t>
  </si>
  <si>
    <t xml:space="preserve">ABUNDIS SANCHEZ FRANCISCO </t>
  </si>
  <si>
    <t xml:space="preserve">UNIDAD DE  ATENCION ANIMAL </t>
  </si>
  <si>
    <t xml:space="preserve">LOPEZ LOZA JOSE JAVIER </t>
  </si>
  <si>
    <t xml:space="preserve">CARRILLO BENAVIDES ISAAC </t>
  </si>
  <si>
    <t>OPERADOR RETROEXCAVADORA 416</t>
  </si>
  <si>
    <t>(DIEZ Y SEIS MIL CIENTO CINCUENTA Y DOS PESOS 20/100 M.N.)</t>
  </si>
  <si>
    <t xml:space="preserve">AYUNTAMIENTO Y QUE  CORRESPONDEN A LA 1RA QUINCENA DE AGOSTO DE 2019 </t>
  </si>
  <si>
    <t xml:space="preserve">GUERRERO RUIZ MIGUEL ANGEL </t>
  </si>
  <si>
    <t xml:space="preserve">ALEMAN PORTILLO JAVIER EMMANUEL </t>
  </si>
  <si>
    <t xml:space="preserve">PEREZ SANDOVAL SERGIO </t>
  </si>
  <si>
    <t>IXTLAHUACAN DEL RIO JALISCO A 15 DE AGOSTO DE 2019</t>
  </si>
  <si>
    <t>(CUATRO MIL TRESCIENTOS OCHENTA Y OCHO PESOS 53100 MN.)</t>
  </si>
  <si>
    <t xml:space="preserve">AYUNTAMIENTO Y QUE  CORRESPONDEN A LA 2DA QUINCENA DE AGOSTO DE 2019 </t>
  </si>
  <si>
    <t>(OCHO MIL TRESCIENTOS CINCUENTA Y OCHO PESOS 09/100 M.N.)</t>
  </si>
  <si>
    <t>IXTLAHUACAN DEL RIO JALISCO A 31 DE AGOSTO DE 2019</t>
  </si>
  <si>
    <t>(NUEVE MIL DOSCIENTOS NOVENTA Y CINCO PESOS 72/100 M.N.)</t>
  </si>
  <si>
    <t xml:space="preserve">AYUNTAMIENTO Y QUE  CORRESPONDEN A LA 1RA QUINCENA DE SEPTIEMBRE DE 2019 </t>
  </si>
  <si>
    <t>(QUINIENTOS OCHENTA Y NUEVE 21/100 M.N.)</t>
  </si>
  <si>
    <t>IXTLAHUACAN DEL RIO JALISCO A 15 DE SEPTIEMBRE DE 2019</t>
  </si>
  <si>
    <t>(TRES MIL CIENTO SETENTA Y DOS PESOS 95/100 M.N.)</t>
  </si>
  <si>
    <t>AUXILIAR DE DEPARTAMENTO</t>
  </si>
  <si>
    <t xml:space="preserve">YAÑEZ JIMENEZ JOSE MANUEL </t>
  </si>
  <si>
    <t xml:space="preserve">AYUNTAMIENTO Y QUE  CORRESPONDEN A LA 2DA QUINCENA DE SEPTIEMBRE DE 2019 </t>
  </si>
  <si>
    <t>IXTLAHUACAN DEL RIO JALISCO A 30 DE SEPTIEMBRE DE 2019</t>
  </si>
  <si>
    <t xml:space="preserve">ALVAREZ HUERTA JESUS GERARDO </t>
  </si>
  <si>
    <t>AUXILIAR DE PROTECCION CIVIL B</t>
  </si>
  <si>
    <t xml:space="preserve">DIAZ NORIEGA BEATRIZ </t>
  </si>
  <si>
    <t>PARAMEDICO</t>
  </si>
  <si>
    <t xml:space="preserve">FLORES BAÑUELOS ADRIANA ELIZABETH </t>
  </si>
  <si>
    <t xml:space="preserve">GRANADO CRUZ JUAN LUIS </t>
  </si>
  <si>
    <t>JAUREGUI MARTINEZ CUAHUTEMOC</t>
  </si>
  <si>
    <t xml:space="preserve">MARIA GONZALEZ MARTIN </t>
  </si>
  <si>
    <t>CHOFER DE AMBULANCIA</t>
  </si>
  <si>
    <t xml:space="preserve">MOJARRO GUTIERREZ RIGOBERTO </t>
  </si>
  <si>
    <t xml:space="preserve">MONTES NERI MIGUEL ANGEL </t>
  </si>
  <si>
    <t>AUXILIAR DE PROTECCION CIVIL A</t>
  </si>
  <si>
    <t xml:space="preserve">SOUZA SANCHEZ JOSE ANTONIO </t>
  </si>
  <si>
    <t xml:space="preserve">VAZQUEZ CAMACHO CRISTIAN VIDAL </t>
  </si>
  <si>
    <t xml:space="preserve">VAZQUEZ HUERTA EDGARDO ALEJANDRO </t>
  </si>
  <si>
    <t>JEFE DE DEPARTAMENTO DE PROTECCION CIVIL</t>
  </si>
  <si>
    <t xml:space="preserve">VAZQUEZ HUERTA GONZALO </t>
  </si>
  <si>
    <t>(TRECE MIL DOSCIENTOS TREINTA Y UN PESOS 59/100 M.N.)</t>
  </si>
  <si>
    <t>(VEINTINUEVE MIL OCHOCIENTOS VEINTINUEVE PESOS 58/100 M.N.)</t>
  </si>
  <si>
    <t>AYUNTAMIENTO Y QUE  CORRESPONDEN A LA 1RA QUINCENA DE OCTUBRE DE 2019</t>
  </si>
  <si>
    <t>IXTLAHUACAN DEL RIO JALISCO A 15 DE OCTUBRE DE 2019</t>
  </si>
  <si>
    <t>(DOS MIL OCHOCIENTOS DIEZ Y SEIS PESOS 46/100 M.N.)</t>
  </si>
  <si>
    <t>(TRES MIL SEISCIENTOS CINCO PESOS 58/100 M.N.)</t>
  </si>
  <si>
    <t xml:space="preserve">AYUNTAMIENTO Y QUE  CORRESPONDEN A LA 2DA QUINCENA DE OCTUBRE DE 2019 </t>
  </si>
  <si>
    <t xml:space="preserve">ABUNDIS MUNOZ ALFREDO </t>
  </si>
  <si>
    <t>(DIEZ MIL QUINIENTOS VEINTIUN PESOS 97/100 M.N.)</t>
  </si>
  <si>
    <t>IXTLAHUACAN DEL RIO JALISCO A 31 DE OCTUBRE DE 2019</t>
  </si>
  <si>
    <t xml:space="preserve">TORRES YANEZ VICTORINO </t>
  </si>
  <si>
    <t>(ONCE MIL CUARENTA Y UN PESOS 99/100 M.N.)</t>
  </si>
  <si>
    <t xml:space="preserve">AYUNTAMIENTO Y QUE  CORRESPONDEN A LA 1ER QUINCENA DE NOVIEMBRE DE 2019 </t>
  </si>
  <si>
    <t>(TRESCIENTOS OCHENTA PESOS 95/100 M.N.)</t>
  </si>
  <si>
    <t>IXTLAHUACAN DEL RIO JALISCO A 15 DE NOVIEMBRE DE 2019</t>
  </si>
  <si>
    <t>(UN MIL CIENTO SETENTA Y CUATRO PESOS 43/100 M.N.)</t>
  </si>
  <si>
    <t>MARTINEZ ESTEVEZ BRENDA</t>
  </si>
  <si>
    <t xml:space="preserve">PINTO GONNZALEZ LN MARIA DE LA LUZ  </t>
  </si>
  <si>
    <t xml:space="preserve">DIAZ SALDANA TOBIAS </t>
  </si>
  <si>
    <t>YANEZ JIMENEZ JORGE</t>
  </si>
  <si>
    <t xml:space="preserve">YANEZ JIMENEZ JOSE MANUEL </t>
  </si>
  <si>
    <t xml:space="preserve">AYUNTAMIENTO Y QUE  CORRESPONDEN A LA 2da QUINCENA DE NOVIEMBRE DE 2019 </t>
  </si>
  <si>
    <t>IXTLAHUACAN DEL RIO JALISCO A 30 DE NOVIEMBRE DE 2019</t>
  </si>
  <si>
    <t>(DOCE MIL OCHOCIENTOS SESENTA Y SIETE 29/100 M.N.)</t>
  </si>
  <si>
    <t>MERCADO MENDOZA YVETTE JOCELYN</t>
  </si>
  <si>
    <t>MEDICO MUNICIPAL</t>
  </si>
  <si>
    <t xml:space="preserve">SANCHEZ SANCHEZ MA MAGDALENA </t>
  </si>
  <si>
    <t>(CUATRO MIL OCHOCIENTOS VEINTIDOS PESOS 54/100 M.N.)</t>
  </si>
  <si>
    <t xml:space="preserve">INIGUEZ HERNANDEZ MIRIAM RAXEL </t>
  </si>
  <si>
    <t xml:space="preserve">OFICIAL REGISTRO CIVIL PALOS ALTOS </t>
  </si>
  <si>
    <t xml:space="preserve">AYUNTAMIENTO Y QUE  CORRESPONDEN A LA 1ra QUINCENA DE DICIEMBRE DE 2019 </t>
  </si>
  <si>
    <t>(NOVECIENTOS NOVENTA Y SIETE PESOS 93/100 M.N.)</t>
  </si>
  <si>
    <t>IXTLAHUACAN DEL RIO JALISCO A 15 DE DICIEMBRE DE 2019</t>
  </si>
  <si>
    <t>(QUINIENTOS OCHENTA PESOS 98/100 M.N.)</t>
  </si>
  <si>
    <r>
      <t xml:space="preserve"> </t>
    </r>
    <r>
      <rPr>
        <b/>
        <i/>
        <sz val="8"/>
        <color theme="9"/>
        <rFont val="Arial"/>
        <family val="2"/>
      </rPr>
      <t>(SEGÚN REPORTES QUE EMITE EL PERSONAL DE RECURSOS HUMANOS).</t>
    </r>
  </si>
  <si>
    <t xml:space="preserve">GUTIERREZ SANCHEZ  MARIA GUADALUPE  </t>
  </si>
  <si>
    <t xml:space="preserve">ASISTENTE DE SECRETARIA GENERAL </t>
  </si>
  <si>
    <t xml:space="preserve">BECERRA PEREZ MARIA ISABEL </t>
  </si>
  <si>
    <t>AUXILIAR DE INTENDENCIA</t>
  </si>
  <si>
    <t xml:space="preserve">ALONSO RAMIREZ MA GUADALUPE </t>
  </si>
  <si>
    <t>JEFE DE UNIDAD DE COSTOS DE OBRA PÚBLICA</t>
  </si>
  <si>
    <t xml:space="preserve">CRUZ GONZALEZ ALEJANDRO </t>
  </si>
  <si>
    <t xml:space="preserve">AUXILIAR ADMINISTRATIVO A      </t>
  </si>
  <si>
    <t xml:space="preserve">MORA NUNEZ LUIS </t>
  </si>
  <si>
    <t>JEFE DE DEPARTAMENTO DE OBRAS PUBLICAS</t>
  </si>
  <si>
    <t xml:space="preserve">AYUNTAMIENTO Y QUE  CORRESPONDEN A LA 2DA QUINCENA DE DICIEMBRE DE 2019 </t>
  </si>
  <si>
    <t>(VEINTIDOS MIL TRECIENTOS VEINTIDOS PESOS 55/100 M.N.)</t>
  </si>
  <si>
    <t>IXTLAHUACAN DEL RIO JALISCO A 31 DE DICIEMBRE DE 2019</t>
  </si>
  <si>
    <t>(OCHO MIL SETENTA Y NUEVE PESOS 18/100 M.N.)</t>
  </si>
  <si>
    <t>MARIA DE LA LUZ  PINTO GONNZALEZ</t>
  </si>
  <si>
    <t xml:space="preserve"> MARIA DE LA LUZ  PINTO GONNZALEZ</t>
  </si>
  <si>
    <r>
      <t xml:space="preserve"> </t>
    </r>
    <r>
      <rPr>
        <b/>
        <i/>
        <sz val="10"/>
        <rFont val="Arial"/>
        <family val="2"/>
      </rPr>
      <t>(SEGÚN REPORTES QUE EMITE EL PERSONAL DE RECURSOS HUMANOS).</t>
    </r>
  </si>
  <si>
    <t>MUNICIPIO DE IXTLAHUACAN DEL RIO, JALISCO.  ADMINISTRACIÓN 2018-2021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</si>
</sst>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000_);_(* \(#,##0.00000\);_(* &quot;-&quot;??_);_(@_)"/>
    <numFmt numFmtId="167" formatCode="_(* #,##0.00000000_);_(* \(#,##0.00000000\);_(* &quot;-&quot;??_);_(@_)"/>
    <numFmt numFmtId="168" formatCode="_(* #,##0.000000000_);_(* \(#,##0.000000000\);_(* &quot;-&quot;??_);_(@_)"/>
    <numFmt numFmtId="169" formatCode="_(* #,##0.0000000000_);_(* \(#,##0.0000000000\);_(* &quot;-&quot;??_);_(@_)"/>
  </numFmts>
  <fonts count="3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8"/>
      <name val="Showcard Gothic"/>
      <family val="5"/>
    </font>
    <font>
      <sz val="8"/>
      <name val="Tw Cen MT Condensed Extra Bold"/>
      <family val="2"/>
    </font>
    <font>
      <sz val="8"/>
      <color theme="0"/>
      <name val="Tw Cen MT Condensed Extra Bold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5"/>
      <name val="Latha"/>
      <family val="2"/>
    </font>
    <font>
      <b/>
      <sz val="6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Tw Cen MT Condensed Extra Bold"/>
      <family val="2"/>
    </font>
    <font>
      <sz val="8"/>
      <color rgb="FFFF0000"/>
      <name val="Arial"/>
      <family val="2"/>
    </font>
    <font>
      <sz val="8"/>
      <color theme="9"/>
      <name val="Arial"/>
      <family val="2"/>
    </font>
    <font>
      <b/>
      <i/>
      <sz val="8"/>
      <color theme="9"/>
      <name val="Arial"/>
      <family val="2"/>
    </font>
    <font>
      <sz val="6"/>
      <color theme="9"/>
      <name val="Arial"/>
      <family val="2"/>
    </font>
    <font>
      <sz val="8"/>
      <color theme="9"/>
      <name val="Tw Cen MT Condensed Extra Bold"/>
      <family val="2"/>
    </font>
    <font>
      <b/>
      <sz val="8"/>
      <color theme="9"/>
      <name val="Arial"/>
      <family val="2"/>
    </font>
    <font>
      <sz val="10"/>
      <color theme="0"/>
      <name val="Tw Cen MT Condensed Extra Bold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9"/>
      <name val="Arial"/>
      <family val="2"/>
    </font>
    <font>
      <sz val="6"/>
      <color theme="0"/>
      <name val="Arial"/>
      <family val="2"/>
    </font>
    <font>
      <sz val="8"/>
      <color theme="0"/>
      <name val="Calibri"/>
      <family val="2"/>
      <scheme val="minor"/>
    </font>
    <font>
      <sz val="9"/>
      <name val="Latha"/>
      <family val="2"/>
    </font>
    <font>
      <b/>
      <sz val="11"/>
      <name val="Arial"/>
      <family val="2"/>
    </font>
    <font>
      <sz val="11"/>
      <name val="Tw Cen MT Condensed Extra Bold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2">
    <xf numFmtId="0" fontId="0" fillId="0" borderId="0" xfId="0"/>
    <xf numFmtId="49" fontId="2" fillId="0" borderId="1" xfId="0" applyNumberFormat="1" applyFont="1" applyFill="1" applyBorder="1" applyAlignment="1">
      <alignment horizontal="center"/>
    </xf>
    <xf numFmtId="165" fontId="2" fillId="0" borderId="1" xfId="1" applyFont="1" applyFill="1" applyBorder="1" applyAlignment="1">
      <alignment horizontal="center"/>
    </xf>
    <xf numFmtId="164" fontId="2" fillId="0" borderId="1" xfId="2" applyFont="1" applyFill="1" applyBorder="1" applyAlignment="1">
      <alignment horizontal="center"/>
    </xf>
    <xf numFmtId="165" fontId="2" fillId="0" borderId="1" xfId="1" applyFont="1" applyFill="1" applyBorder="1" applyAlignment="1" applyProtection="1">
      <alignment horizontal="center"/>
    </xf>
    <xf numFmtId="165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164" fontId="5" fillId="0" borderId="1" xfId="2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3" fillId="0" borderId="1" xfId="1" applyFont="1" applyFill="1" applyBorder="1" applyAlignment="1">
      <alignment horizontal="center"/>
    </xf>
    <xf numFmtId="164" fontId="3" fillId="0" borderId="1" xfId="2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 applyProtection="1">
      <alignment wrapText="1"/>
    </xf>
    <xf numFmtId="165" fontId="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1" fillId="0" borderId="1" xfId="0" applyFont="1" applyFill="1" applyBorder="1"/>
    <xf numFmtId="165" fontId="1" fillId="0" borderId="1" xfId="1" applyFont="1" applyFill="1" applyBorder="1"/>
    <xf numFmtId="49" fontId="2" fillId="0" borderId="1" xfId="0" applyNumberFormat="1" applyFont="1" applyFill="1" applyBorder="1" applyAlignment="1" applyProtection="1">
      <alignment horizontal="center"/>
    </xf>
    <xf numFmtId="165" fontId="2" fillId="0" borderId="1" xfId="1" applyFont="1" applyFill="1" applyBorder="1"/>
    <xf numFmtId="43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164" fontId="6" fillId="0" borderId="1" xfId="2" applyFont="1" applyFill="1" applyBorder="1" applyAlignment="1">
      <alignment horizontal="center"/>
    </xf>
    <xf numFmtId="165" fontId="2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165" fontId="9" fillId="0" borderId="1" xfId="1" applyFont="1" applyFill="1" applyBorder="1" applyAlignment="1" applyProtection="1">
      <alignment horizontal="center"/>
    </xf>
    <xf numFmtId="0" fontId="9" fillId="0" borderId="1" xfId="0" applyFont="1" applyFill="1" applyBorder="1" applyAlignment="1">
      <alignment horizontal="center"/>
    </xf>
    <xf numFmtId="165" fontId="12" fillId="0" borderId="1" xfId="1" applyFont="1" applyFill="1" applyBorder="1"/>
    <xf numFmtId="165" fontId="11" fillId="0" borderId="1" xfId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164" fontId="11" fillId="0" borderId="1" xfId="2" applyFont="1" applyFill="1" applyBorder="1" applyAlignment="1">
      <alignment horizontal="center"/>
    </xf>
    <xf numFmtId="165" fontId="12" fillId="0" borderId="0" xfId="1" applyFont="1" applyFill="1"/>
    <xf numFmtId="0" fontId="13" fillId="0" borderId="0" xfId="0" applyFont="1" applyFill="1" applyBorder="1" applyAlignment="1">
      <alignment horizontal="left"/>
    </xf>
    <xf numFmtId="0" fontId="12" fillId="0" borderId="0" xfId="0" applyFont="1" applyFill="1" applyAlignment="1" applyProtection="1">
      <alignment horizontal="right"/>
    </xf>
    <xf numFmtId="165" fontId="14" fillId="0" borderId="0" xfId="1" applyFont="1" applyFill="1"/>
    <xf numFmtId="0" fontId="12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left" wrapText="1"/>
    </xf>
    <xf numFmtId="0" fontId="2" fillId="0" borderId="0" xfId="0" applyFont="1" applyFill="1" applyAlignment="1">
      <alignment wrapText="1"/>
    </xf>
    <xf numFmtId="0" fontId="15" fillId="0" borderId="0" xfId="0" applyFont="1" applyFill="1"/>
    <xf numFmtId="0" fontId="2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>
      <alignment horizontal="left" wrapText="1"/>
    </xf>
    <xf numFmtId="0" fontId="0" fillId="0" borderId="0" xfId="0" applyFill="1"/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Alignment="1">
      <alignment horizontal="right"/>
    </xf>
    <xf numFmtId="0" fontId="2" fillId="0" borderId="0" xfId="0" applyFont="1" applyFill="1" applyAlignment="1">
      <alignment horizontal="left" wrapText="1"/>
    </xf>
    <xf numFmtId="164" fontId="14" fillId="0" borderId="0" xfId="2" applyFont="1" applyFill="1" applyBorder="1"/>
    <xf numFmtId="165" fontId="14" fillId="0" borderId="0" xfId="1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65" fontId="9" fillId="0" borderId="1" xfId="0" applyNumberFormat="1" applyFont="1" applyFill="1" applyBorder="1"/>
    <xf numFmtId="0" fontId="11" fillId="0" borderId="1" xfId="0" applyFont="1" applyFill="1" applyBorder="1" applyAlignment="1">
      <alignment horizontal="center" wrapText="1"/>
    </xf>
    <xf numFmtId="165" fontId="9" fillId="0" borderId="1" xfId="1" applyFont="1" applyFill="1" applyBorder="1"/>
    <xf numFmtId="0" fontId="12" fillId="0" borderId="0" xfId="0" applyFont="1" applyFill="1" applyAlignment="1">
      <alignment wrapText="1"/>
    </xf>
    <xf numFmtId="0" fontId="12" fillId="0" borderId="0" xfId="0" applyFont="1" applyFill="1" applyBorder="1"/>
    <xf numFmtId="165" fontId="2" fillId="0" borderId="1" xfId="1" applyNumberFormat="1" applyFont="1" applyFill="1" applyBorder="1"/>
    <xf numFmtId="0" fontId="9" fillId="0" borderId="1" xfId="0" applyFont="1" applyFill="1" applyBorder="1"/>
    <xf numFmtId="0" fontId="12" fillId="0" borderId="1" xfId="0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164" fontId="16" fillId="0" borderId="1" xfId="2" applyFont="1" applyFill="1" applyBorder="1" applyAlignment="1">
      <alignment horizontal="center"/>
    </xf>
    <xf numFmtId="0" fontId="12" fillId="0" borderId="1" xfId="0" applyFont="1" applyFill="1" applyBorder="1"/>
    <xf numFmtId="164" fontId="12" fillId="0" borderId="1" xfId="2" applyFont="1" applyFill="1" applyBorder="1" applyAlignment="1">
      <alignment horizontal="center"/>
    </xf>
    <xf numFmtId="165" fontId="17" fillId="0" borderId="1" xfId="1" applyFont="1" applyFill="1" applyBorder="1"/>
    <xf numFmtId="165" fontId="12" fillId="0" borderId="0" xfId="1" applyFont="1" applyFill="1" applyBorder="1"/>
    <xf numFmtId="165" fontId="12" fillId="0" borderId="1" xfId="1" applyFont="1" applyFill="1" applyBorder="1" applyAlignment="1" applyProtection="1">
      <alignment horizontal="center"/>
    </xf>
    <xf numFmtId="0" fontId="20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165" fontId="18" fillId="0" borderId="1" xfId="1" applyFont="1" applyFill="1" applyBorder="1"/>
    <xf numFmtId="164" fontId="21" fillId="0" borderId="1" xfId="2" applyFont="1" applyFill="1" applyBorder="1" applyAlignment="1">
      <alignment horizontal="center"/>
    </xf>
    <xf numFmtId="0" fontId="18" fillId="0" borderId="1" xfId="0" applyFont="1" applyFill="1" applyBorder="1"/>
    <xf numFmtId="0" fontId="22" fillId="0" borderId="1" xfId="0" applyFont="1" applyFill="1" applyBorder="1"/>
    <xf numFmtId="165" fontId="22" fillId="0" borderId="1" xfId="1" applyFont="1" applyFill="1" applyBorder="1"/>
    <xf numFmtId="165" fontId="15" fillId="0" borderId="1" xfId="1" applyFont="1" applyFill="1" applyBorder="1"/>
    <xf numFmtId="165" fontId="23" fillId="0" borderId="1" xfId="1" applyFont="1" applyFill="1" applyBorder="1" applyAlignment="1">
      <alignment horizontal="center"/>
    </xf>
    <xf numFmtId="165" fontId="15" fillId="0" borderId="1" xfId="1" applyFont="1" applyFill="1" applyBorder="1" applyAlignment="1"/>
    <xf numFmtId="0" fontId="24" fillId="0" borderId="1" xfId="0" applyFont="1" applyFill="1" applyBorder="1" applyAlignment="1">
      <alignment horizontal="center"/>
    </xf>
    <xf numFmtId="165" fontId="25" fillId="0" borderId="1" xfId="1" applyFont="1" applyFill="1" applyBorder="1"/>
    <xf numFmtId="165" fontId="25" fillId="0" borderId="1" xfId="1" applyFont="1" applyFill="1" applyBorder="1" applyAlignment="1">
      <alignment horizontal="center"/>
    </xf>
    <xf numFmtId="165" fontId="25" fillId="0" borderId="1" xfId="1" applyFont="1" applyFill="1" applyBorder="1" applyAlignment="1"/>
    <xf numFmtId="165" fontId="15" fillId="0" borderId="1" xfId="1" applyFont="1" applyFill="1" applyBorder="1" applyAlignment="1">
      <alignment horizontal="center"/>
    </xf>
    <xf numFmtId="165" fontId="26" fillId="0" borderId="1" xfId="1" applyFont="1" applyFill="1" applyBorder="1" applyAlignment="1">
      <alignment horizontal="center"/>
    </xf>
    <xf numFmtId="43" fontId="27" fillId="0" borderId="1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165" fontId="24" fillId="0" borderId="1" xfId="1" applyFont="1" applyFill="1" applyBorder="1" applyAlignment="1">
      <alignment horizontal="center"/>
    </xf>
    <xf numFmtId="165" fontId="24" fillId="0" borderId="1" xfId="1" applyFont="1" applyFill="1" applyBorder="1"/>
    <xf numFmtId="165" fontId="14" fillId="0" borderId="1" xfId="1" applyFont="1" applyFill="1" applyBorder="1"/>
    <xf numFmtId="0" fontId="24" fillId="0" borderId="1" xfId="0" applyFont="1" applyFill="1" applyBorder="1"/>
    <xf numFmtId="0" fontId="12" fillId="0" borderId="1" xfId="0" applyFont="1" applyFill="1" applyBorder="1" applyAlignment="1">
      <alignment horizontal="center" wrapText="1"/>
    </xf>
    <xf numFmtId="165" fontId="2" fillId="0" borderId="1" xfId="1" applyFont="1" applyFill="1" applyBorder="1" applyAlignment="1">
      <alignment horizontal="left" vertical="center" wrapText="1"/>
    </xf>
    <xf numFmtId="165" fontId="2" fillId="0" borderId="1" xfId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165" fontId="2" fillId="0" borderId="1" xfId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 applyProtection="1">
      <alignment horizontal="left" wrapText="1"/>
    </xf>
    <xf numFmtId="49" fontId="3" fillId="0" borderId="1" xfId="0" applyNumberFormat="1" applyFont="1" applyFill="1" applyBorder="1" applyAlignment="1" applyProtection="1">
      <alignment horizontal="left" wrapText="1"/>
    </xf>
    <xf numFmtId="49" fontId="24" fillId="0" borderId="1" xfId="0" applyNumberFormat="1" applyFont="1" applyFill="1" applyBorder="1" applyAlignment="1">
      <alignment wrapText="1"/>
    </xf>
    <xf numFmtId="49" fontId="29" fillId="0" borderId="1" xfId="0" applyNumberFormat="1" applyFont="1" applyFill="1" applyBorder="1" applyAlignment="1">
      <alignment wrapText="1"/>
    </xf>
    <xf numFmtId="49" fontId="29" fillId="0" borderId="1" xfId="0" applyNumberFormat="1" applyFont="1" applyFill="1" applyBorder="1" applyAlignment="1" applyProtection="1">
      <alignment wrapText="1"/>
    </xf>
    <xf numFmtId="0" fontId="30" fillId="0" borderId="0" xfId="0" applyFont="1" applyFill="1" applyBorder="1" applyAlignment="1">
      <alignment horizontal="left"/>
    </xf>
    <xf numFmtId="0" fontId="14" fillId="0" borderId="0" xfId="0" applyFont="1" applyFill="1"/>
    <xf numFmtId="0" fontId="2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24" fillId="0" borderId="1" xfId="0" applyNumberFormat="1" applyFont="1" applyFill="1" applyBorder="1" applyAlignment="1">
      <alignment horizontal="center"/>
    </xf>
    <xf numFmtId="165" fontId="24" fillId="0" borderId="1" xfId="1" applyFont="1" applyFill="1" applyBorder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165" fontId="24" fillId="0" borderId="1" xfId="1" applyNumberFormat="1" applyFont="1" applyFill="1" applyBorder="1" applyAlignment="1">
      <alignment horizontal="center"/>
    </xf>
    <xf numFmtId="165" fontId="12" fillId="0" borderId="1" xfId="1" applyFont="1" applyFill="1" applyBorder="1" applyAlignment="1">
      <alignment horizontal="left" wrapText="1"/>
    </xf>
    <xf numFmtId="165" fontId="12" fillId="0" borderId="1" xfId="1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31" fillId="0" borderId="1" xfId="0" applyFont="1" applyFill="1" applyBorder="1" applyAlignment="1" applyProtection="1">
      <alignment horizontal="left" wrapText="1"/>
    </xf>
    <xf numFmtId="49" fontId="12" fillId="0" borderId="1" xfId="0" applyNumberFormat="1" applyFont="1" applyFill="1" applyBorder="1" applyAlignment="1" applyProtection="1">
      <alignment horizontal="left" wrapText="1"/>
    </xf>
    <xf numFmtId="0" fontId="12" fillId="0" borderId="3" xfId="0" applyFont="1" applyFill="1" applyBorder="1" applyAlignment="1">
      <alignment horizontal="left"/>
    </xf>
    <xf numFmtId="49" fontId="28" fillId="0" borderId="1" xfId="0" applyNumberFormat="1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 wrapText="1"/>
    </xf>
    <xf numFmtId="164" fontId="24" fillId="0" borderId="1" xfId="2" applyFont="1" applyFill="1" applyBorder="1" applyAlignment="1">
      <alignment horizontal="center"/>
    </xf>
    <xf numFmtId="164" fontId="2" fillId="0" borderId="4" xfId="2" applyFont="1" applyFill="1" applyBorder="1" applyAlignment="1">
      <alignment horizontal="center"/>
    </xf>
    <xf numFmtId="164" fontId="3" fillId="0" borderId="4" xfId="2" applyFont="1" applyFill="1" applyBorder="1" applyAlignment="1">
      <alignment horizontal="center"/>
    </xf>
    <xf numFmtId="0" fontId="15" fillId="0" borderId="1" xfId="0" applyFont="1" applyFill="1" applyBorder="1"/>
    <xf numFmtId="164" fontId="29" fillId="0" borderId="1" xfId="2" applyFont="1" applyFill="1" applyBorder="1" applyAlignment="1">
      <alignment horizontal="center"/>
    </xf>
    <xf numFmtId="165" fontId="2" fillId="0" borderId="4" xfId="1" applyFont="1" applyFill="1" applyBorder="1" applyAlignment="1">
      <alignment wrapText="1"/>
    </xf>
    <xf numFmtId="165" fontId="2" fillId="0" borderId="4" xfId="1" applyFont="1" applyFill="1" applyBorder="1" applyAlignment="1">
      <alignment horizontal="center"/>
    </xf>
    <xf numFmtId="165" fontId="24" fillId="0" borderId="1" xfId="1" applyFont="1" applyFill="1" applyBorder="1" applyAlignment="1">
      <alignment wrapText="1"/>
    </xf>
    <xf numFmtId="165" fontId="14" fillId="0" borderId="1" xfId="1" applyFont="1" applyFill="1" applyBorder="1" applyAlignment="1">
      <alignment horizontal="center"/>
    </xf>
    <xf numFmtId="165" fontId="14" fillId="0" borderId="1" xfId="1" applyFont="1" applyFill="1" applyBorder="1" applyAlignment="1"/>
    <xf numFmtId="43" fontId="15" fillId="0" borderId="1" xfId="1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24" fillId="0" borderId="1" xfId="0" applyFont="1" applyFill="1" applyBorder="1" applyAlignment="1" applyProtection="1">
      <alignment horizontal="right"/>
    </xf>
    <xf numFmtId="0" fontId="24" fillId="0" borderId="1" xfId="0" applyFont="1" applyFill="1" applyBorder="1" applyAlignment="1" applyProtection="1">
      <alignment horizontal="left" wrapText="1"/>
    </xf>
    <xf numFmtId="0" fontId="14" fillId="0" borderId="1" xfId="0" applyFont="1" applyFill="1" applyBorder="1" applyAlignment="1" applyProtection="1">
      <alignment horizontal="left"/>
    </xf>
    <xf numFmtId="0" fontId="14" fillId="0" borderId="1" xfId="0" applyFont="1" applyFill="1" applyBorder="1"/>
    <xf numFmtId="0" fontId="14" fillId="0" borderId="1" xfId="0" applyFont="1" applyFill="1" applyBorder="1" applyAlignment="1" applyProtection="1">
      <alignment horizontal="right"/>
    </xf>
    <xf numFmtId="0" fontId="14" fillId="0" borderId="1" xfId="0" applyFont="1" applyFill="1" applyBorder="1" applyAlignment="1" applyProtection="1">
      <alignment horizontal="left" wrapText="1"/>
    </xf>
    <xf numFmtId="0" fontId="24" fillId="0" borderId="1" xfId="0" applyFont="1" applyFill="1" applyBorder="1" applyAlignment="1" applyProtection="1">
      <alignment horizontal="left"/>
    </xf>
    <xf numFmtId="169" fontId="15" fillId="0" borderId="1" xfId="1" applyNumberFormat="1" applyFont="1" applyFill="1" applyBorder="1" applyAlignment="1"/>
    <xf numFmtId="168" fontId="15" fillId="0" borderId="1" xfId="1" applyNumberFormat="1" applyFont="1" applyFill="1" applyBorder="1" applyAlignment="1"/>
    <xf numFmtId="166" fontId="15" fillId="0" borderId="1" xfId="1" applyNumberFormat="1" applyFont="1" applyFill="1" applyBorder="1" applyAlignment="1"/>
    <xf numFmtId="167" fontId="15" fillId="0" borderId="1" xfId="1" applyNumberFormat="1" applyFont="1" applyFill="1" applyBorder="1" applyAlignment="1"/>
    <xf numFmtId="0" fontId="27" fillId="0" borderId="1" xfId="0" applyFont="1" applyFill="1" applyBorder="1"/>
    <xf numFmtId="0" fontId="14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165" fontId="15" fillId="0" borderId="1" xfId="1" applyNumberFormat="1" applyFont="1" applyFill="1" applyBorder="1" applyAlignment="1"/>
    <xf numFmtId="43" fontId="14" fillId="0" borderId="1" xfId="1" applyNumberFormat="1" applyFont="1" applyFill="1" applyBorder="1"/>
    <xf numFmtId="0" fontId="24" fillId="0" borderId="1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28" fillId="0" borderId="1" xfId="0" applyFont="1" applyFill="1" applyBorder="1"/>
    <xf numFmtId="49" fontId="12" fillId="0" borderId="1" xfId="0" applyNumberFormat="1" applyFont="1" applyFill="1" applyBorder="1" applyAlignment="1" applyProtection="1">
      <alignment horizontal="center" wrapText="1"/>
    </xf>
    <xf numFmtId="0" fontId="28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left"/>
    </xf>
    <xf numFmtId="165" fontId="15" fillId="2" borderId="1" xfId="1" applyFont="1" applyFill="1" applyBorder="1"/>
    <xf numFmtId="165" fontId="23" fillId="2" borderId="1" xfId="1" applyFont="1" applyFill="1" applyBorder="1" applyAlignment="1">
      <alignment horizontal="center"/>
    </xf>
    <xf numFmtId="165" fontId="15" fillId="2" borderId="1" xfId="1" applyNumberFormat="1" applyFont="1" applyFill="1" applyBorder="1" applyAlignment="1"/>
    <xf numFmtId="0" fontId="24" fillId="2" borderId="1" xfId="0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wrapText="1"/>
    </xf>
    <xf numFmtId="165" fontId="24" fillId="2" borderId="1" xfId="1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horizontal="center"/>
    </xf>
    <xf numFmtId="164" fontId="24" fillId="2" borderId="1" xfId="2" applyFont="1" applyFill="1" applyBorder="1" applyAlignment="1">
      <alignment horizontal="center"/>
    </xf>
    <xf numFmtId="165" fontId="15" fillId="2" borderId="1" xfId="1" applyFont="1" applyFill="1" applyBorder="1" applyAlignment="1">
      <alignment horizontal="center"/>
    </xf>
    <xf numFmtId="0" fontId="1" fillId="2" borderId="1" xfId="0" applyFont="1" applyFill="1" applyBorder="1"/>
    <xf numFmtId="165" fontId="1" fillId="2" borderId="1" xfId="1" applyFont="1" applyFill="1" applyBorder="1"/>
    <xf numFmtId="0" fontId="0" fillId="2" borderId="0" xfId="0" applyFill="1"/>
    <xf numFmtId="164" fontId="6" fillId="2" borderId="1" xfId="2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165" fontId="2" fillId="2" borderId="1" xfId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164" fontId="2" fillId="2" borderId="1" xfId="2" applyFont="1" applyFill="1" applyBorder="1" applyAlignment="1">
      <alignment horizontal="center"/>
    </xf>
    <xf numFmtId="164" fontId="5" fillId="2" borderId="1" xfId="2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165" fontId="2" fillId="2" borderId="1" xfId="1" applyFont="1" applyFill="1" applyBorder="1"/>
    <xf numFmtId="0" fontId="30" fillId="2" borderId="1" xfId="0" applyFont="1" applyFill="1" applyBorder="1" applyAlignment="1">
      <alignment horizontal="left"/>
    </xf>
    <xf numFmtId="0" fontId="24" fillId="2" borderId="1" xfId="0" applyFont="1" applyFill="1" applyBorder="1"/>
    <xf numFmtId="0" fontId="24" fillId="2" borderId="1" xfId="0" applyFont="1" applyFill="1" applyBorder="1" applyAlignment="1" applyProtection="1">
      <alignment horizontal="right"/>
    </xf>
    <xf numFmtId="0" fontId="24" fillId="2" borderId="1" xfId="0" applyFont="1" applyFill="1" applyBorder="1" applyAlignment="1" applyProtection="1">
      <alignment horizontal="left" wrapText="1"/>
    </xf>
    <xf numFmtId="165" fontId="14" fillId="2" borderId="1" xfId="1" applyFont="1" applyFill="1" applyBorder="1"/>
    <xf numFmtId="165" fontId="2" fillId="2" borderId="1" xfId="1" applyFont="1" applyFill="1" applyBorder="1" applyAlignment="1">
      <alignment horizontal="center"/>
    </xf>
    <xf numFmtId="0" fontId="15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/>
    <xf numFmtId="165" fontId="9" fillId="2" borderId="1" xfId="1" applyFont="1" applyFill="1" applyBorder="1"/>
    <xf numFmtId="0" fontId="20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165" fontId="18" fillId="2" borderId="1" xfId="1" applyFont="1" applyFill="1" applyBorder="1"/>
    <xf numFmtId="164" fontId="21" fillId="2" borderId="1" xfId="2" applyFont="1" applyFill="1" applyBorder="1" applyAlignment="1">
      <alignment horizontal="center"/>
    </xf>
    <xf numFmtId="165" fontId="15" fillId="2" borderId="1" xfId="1" applyFont="1" applyFill="1" applyBorder="1" applyAlignment="1"/>
    <xf numFmtId="0" fontId="22" fillId="2" borderId="1" xfId="0" applyFont="1" applyFill="1" applyBorder="1"/>
    <xf numFmtId="165" fontId="22" fillId="2" borderId="1" xfId="1" applyFont="1" applyFill="1" applyBorder="1"/>
    <xf numFmtId="0" fontId="18" fillId="2" borderId="1" xfId="0" applyFont="1" applyFill="1" applyBorder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wrapText="1"/>
    </xf>
    <xf numFmtId="165" fontId="2" fillId="2" borderId="1" xfId="1" applyFont="1" applyFill="1" applyBorder="1" applyAlignment="1" applyProtection="1">
      <alignment horizontal="center"/>
    </xf>
    <xf numFmtId="49" fontId="29" fillId="2" borderId="1" xfId="0" applyNumberFormat="1" applyFont="1" applyFill="1" applyBorder="1" applyAlignment="1" applyProtection="1">
      <alignment wrapText="1"/>
    </xf>
    <xf numFmtId="165" fontId="24" fillId="2" borderId="1" xfId="1" applyFont="1" applyFill="1" applyBorder="1" applyAlignment="1" applyProtection="1">
      <alignment horizontal="center"/>
    </xf>
    <xf numFmtId="165" fontId="9" fillId="2" borderId="1" xfId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 wrapText="1"/>
    </xf>
    <xf numFmtId="165" fontId="24" fillId="2" borderId="1" xfId="1" applyNumberFormat="1" applyFont="1" applyFill="1" applyBorder="1" applyAlignment="1">
      <alignment horizontal="center"/>
    </xf>
    <xf numFmtId="49" fontId="29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/>
    <xf numFmtId="43" fontId="2" fillId="2" borderId="1" xfId="0" applyNumberFormat="1" applyFont="1" applyFill="1" applyBorder="1"/>
    <xf numFmtId="0" fontId="11" fillId="2" borderId="1" xfId="0" applyFont="1" applyFill="1" applyBorder="1" applyAlignment="1">
      <alignment horizontal="center" wrapText="1"/>
    </xf>
    <xf numFmtId="0" fontId="32" fillId="3" borderId="1" xfId="0" applyFont="1" applyFill="1" applyBorder="1" applyAlignment="1">
      <alignment horizontal="center"/>
    </xf>
    <xf numFmtId="49" fontId="32" fillId="3" borderId="1" xfId="0" applyNumberFormat="1" applyFont="1" applyFill="1" applyBorder="1" applyAlignment="1">
      <alignment horizontal="center" wrapText="1"/>
    </xf>
    <xf numFmtId="165" fontId="32" fillId="3" borderId="1" xfId="1" applyFont="1" applyFill="1" applyBorder="1" applyAlignment="1">
      <alignment horizontal="center"/>
    </xf>
    <xf numFmtId="49" fontId="32" fillId="3" borderId="1" xfId="0" applyNumberFormat="1" applyFont="1" applyFill="1" applyBorder="1" applyAlignment="1">
      <alignment horizontal="center"/>
    </xf>
    <xf numFmtId="164" fontId="32" fillId="3" borderId="1" xfId="2" applyFont="1" applyFill="1" applyBorder="1" applyAlignment="1">
      <alignment horizontal="center"/>
    </xf>
    <xf numFmtId="164" fontId="33" fillId="3" borderId="1" xfId="2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32" fillId="3" borderId="2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2" fillId="3" borderId="2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2</xdr:row>
      <xdr:rowOff>52482</xdr:rowOff>
    </xdr:from>
    <xdr:to>
      <xdr:col>1</xdr:col>
      <xdr:colOff>2201333</xdr:colOff>
      <xdr:row>3</xdr:row>
      <xdr:rowOff>296333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7" y="729815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2</xdr:row>
      <xdr:rowOff>130969</xdr:rowOff>
    </xdr:from>
    <xdr:to>
      <xdr:col>1</xdr:col>
      <xdr:colOff>2005541</xdr:colOff>
      <xdr:row>4</xdr:row>
      <xdr:rowOff>22925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821532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404812</xdr:colOff>
      <xdr:row>2</xdr:row>
      <xdr:rowOff>59531</xdr:rowOff>
    </xdr:from>
    <xdr:to>
      <xdr:col>1</xdr:col>
      <xdr:colOff>2553228</xdr:colOff>
      <xdr:row>3</xdr:row>
      <xdr:rowOff>296768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50094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357187</xdr:colOff>
      <xdr:row>2</xdr:row>
      <xdr:rowOff>59531</xdr:rowOff>
    </xdr:from>
    <xdr:to>
      <xdr:col>1</xdr:col>
      <xdr:colOff>2505603</xdr:colOff>
      <xdr:row>3</xdr:row>
      <xdr:rowOff>296768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50094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154780</xdr:colOff>
      <xdr:row>2</xdr:row>
      <xdr:rowOff>107156</xdr:rowOff>
    </xdr:from>
    <xdr:to>
      <xdr:col>1</xdr:col>
      <xdr:colOff>2303196</xdr:colOff>
      <xdr:row>3</xdr:row>
      <xdr:rowOff>344393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8" y="797719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2</xdr:row>
      <xdr:rowOff>95250</xdr:rowOff>
    </xdr:from>
    <xdr:to>
      <xdr:col>1</xdr:col>
      <xdr:colOff>2327010</xdr:colOff>
      <xdr:row>3</xdr:row>
      <xdr:rowOff>332487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82" y="785813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404812</xdr:colOff>
      <xdr:row>2</xdr:row>
      <xdr:rowOff>59531</xdr:rowOff>
    </xdr:from>
    <xdr:to>
      <xdr:col>1</xdr:col>
      <xdr:colOff>2553228</xdr:colOff>
      <xdr:row>3</xdr:row>
      <xdr:rowOff>296768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50094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116417</xdr:colOff>
      <xdr:row>2</xdr:row>
      <xdr:rowOff>84667</xdr:rowOff>
    </xdr:from>
    <xdr:to>
      <xdr:col>1</xdr:col>
      <xdr:colOff>2264833</xdr:colOff>
      <xdr:row>3</xdr:row>
      <xdr:rowOff>328518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7" y="762000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433916</xdr:colOff>
      <xdr:row>2</xdr:row>
      <xdr:rowOff>84667</xdr:rowOff>
    </xdr:from>
    <xdr:to>
      <xdr:col>1</xdr:col>
      <xdr:colOff>2582332</xdr:colOff>
      <xdr:row>3</xdr:row>
      <xdr:rowOff>328518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666" y="762000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306917</xdr:colOff>
      <xdr:row>2</xdr:row>
      <xdr:rowOff>84667</xdr:rowOff>
    </xdr:from>
    <xdr:to>
      <xdr:col>1</xdr:col>
      <xdr:colOff>2455333</xdr:colOff>
      <xdr:row>3</xdr:row>
      <xdr:rowOff>328518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667" y="762000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2</xdr:row>
      <xdr:rowOff>116417</xdr:rowOff>
    </xdr:from>
    <xdr:to>
      <xdr:col>1</xdr:col>
      <xdr:colOff>2074332</xdr:colOff>
      <xdr:row>4</xdr:row>
      <xdr:rowOff>21601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793750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2</xdr:row>
      <xdr:rowOff>232833</xdr:rowOff>
    </xdr:from>
    <xdr:to>
      <xdr:col>1</xdr:col>
      <xdr:colOff>2201333</xdr:colOff>
      <xdr:row>4</xdr:row>
      <xdr:rowOff>138017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7" y="910166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10584</xdr:colOff>
      <xdr:row>2</xdr:row>
      <xdr:rowOff>74084</xdr:rowOff>
    </xdr:from>
    <xdr:to>
      <xdr:col>1</xdr:col>
      <xdr:colOff>2159000</xdr:colOff>
      <xdr:row>3</xdr:row>
      <xdr:rowOff>317935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4" y="751417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2</xdr:row>
      <xdr:rowOff>275166</xdr:rowOff>
    </xdr:from>
    <xdr:to>
      <xdr:col>1</xdr:col>
      <xdr:colOff>2137832</xdr:colOff>
      <xdr:row>4</xdr:row>
      <xdr:rowOff>180350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952499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296334</xdr:rowOff>
    </xdr:from>
    <xdr:to>
      <xdr:col>1</xdr:col>
      <xdr:colOff>2243666</xdr:colOff>
      <xdr:row>4</xdr:row>
      <xdr:rowOff>201518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973667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323850</xdr:rowOff>
    </xdr:from>
    <xdr:to>
      <xdr:col>1</xdr:col>
      <xdr:colOff>2243666</xdr:colOff>
      <xdr:row>4</xdr:row>
      <xdr:rowOff>220568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09650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304800</xdr:rowOff>
    </xdr:from>
    <xdr:to>
      <xdr:col>1</xdr:col>
      <xdr:colOff>2215091</xdr:colOff>
      <xdr:row>4</xdr:row>
      <xdr:rowOff>201518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90600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83343</xdr:colOff>
      <xdr:row>2</xdr:row>
      <xdr:rowOff>142875</xdr:rowOff>
    </xdr:from>
    <xdr:to>
      <xdr:col>1</xdr:col>
      <xdr:colOff>2231759</xdr:colOff>
      <xdr:row>4</xdr:row>
      <xdr:rowOff>34831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833438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297656</xdr:rowOff>
    </xdr:from>
    <xdr:to>
      <xdr:col>1</xdr:col>
      <xdr:colOff>2196041</xdr:colOff>
      <xdr:row>4</xdr:row>
      <xdr:rowOff>189612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988219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261937</xdr:colOff>
      <xdr:row>2</xdr:row>
      <xdr:rowOff>250031</xdr:rowOff>
    </xdr:from>
    <xdr:to>
      <xdr:col>1</xdr:col>
      <xdr:colOff>2410353</xdr:colOff>
      <xdr:row>4</xdr:row>
      <xdr:rowOff>141987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40594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309561</xdr:colOff>
      <xdr:row>2</xdr:row>
      <xdr:rowOff>95249</xdr:rowOff>
    </xdr:from>
    <xdr:to>
      <xdr:col>1</xdr:col>
      <xdr:colOff>2457977</xdr:colOff>
      <xdr:row>3</xdr:row>
      <xdr:rowOff>332486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9" y="785812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</xdr:row>
      <xdr:rowOff>142875</xdr:rowOff>
    </xdr:from>
    <xdr:to>
      <xdr:col>1</xdr:col>
      <xdr:colOff>2338916</xdr:colOff>
      <xdr:row>4</xdr:row>
      <xdr:rowOff>34831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8" y="833438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2</xdr:row>
      <xdr:rowOff>95249</xdr:rowOff>
    </xdr:from>
    <xdr:to>
      <xdr:col>2</xdr:col>
      <xdr:colOff>5291</xdr:colOff>
      <xdr:row>3</xdr:row>
      <xdr:rowOff>332486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3" y="785812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380999</xdr:colOff>
      <xdr:row>2</xdr:row>
      <xdr:rowOff>95250</xdr:rowOff>
    </xdr:from>
    <xdr:to>
      <xdr:col>1</xdr:col>
      <xdr:colOff>2529415</xdr:colOff>
      <xdr:row>3</xdr:row>
      <xdr:rowOff>332487</xdr:rowOff>
    </xdr:to>
    <xdr:pic>
      <xdr:nvPicPr>
        <xdr:cNvPr id="2" name="Imagen 1" descr="H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" y="785813"/>
          <a:ext cx="2148416" cy="582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4"/>
  <sheetViews>
    <sheetView tabSelected="1" zoomScale="90" zoomScaleNormal="90" workbookViewId="0">
      <selection activeCell="C8" sqref="C8"/>
    </sheetView>
  </sheetViews>
  <sheetFormatPr baseColWidth="10" defaultRowHeight="27" customHeight="1"/>
  <cols>
    <col min="1" max="1" width="2.42578125" style="208" bestFit="1" customWidth="1"/>
    <col min="2" max="2" width="41.42578125" style="196" customWidth="1"/>
    <col min="3" max="3" width="40.28515625" style="214" bestFit="1" customWidth="1"/>
    <col min="4" max="4" width="11.42578125" style="187" bestFit="1" customWidth="1"/>
    <col min="5" max="5" width="12.42578125" style="187" customWidth="1"/>
    <col min="6" max="6" width="20" style="187" bestFit="1" customWidth="1"/>
    <col min="7" max="7" width="37" style="187" customWidth="1"/>
    <col min="8" max="8" width="11.42578125" style="166"/>
    <col min="9" max="9" width="9.5703125" style="174" customWidth="1"/>
    <col min="10" max="10" width="17.5703125" style="168" customWidth="1"/>
    <col min="11" max="11" width="16.7109375" style="169" customWidth="1"/>
    <col min="12" max="12" width="23.42578125" style="216" customWidth="1"/>
    <col min="13" max="13" width="9.7109375" style="171" customWidth="1"/>
    <col min="14" max="14" width="10.140625" style="172" bestFit="1" customWidth="1"/>
    <col min="15" max="15" width="8" style="173" bestFit="1" customWidth="1"/>
    <col min="16" max="16" width="8.7109375" style="173" bestFit="1" customWidth="1"/>
    <col min="17" max="17" width="11.7109375" style="171" customWidth="1"/>
    <col min="18" max="18" width="6.85546875" style="187" customWidth="1"/>
    <col min="19" max="19" width="13.85546875" style="187" customWidth="1"/>
    <col min="20" max="20" width="11.7109375" style="187" customWidth="1"/>
    <col min="21" max="21" width="43.42578125" style="187" customWidth="1"/>
    <col min="22" max="30" width="11.7109375" style="187" customWidth="1"/>
    <col min="31" max="31" width="11.7109375" style="188" customWidth="1"/>
    <col min="32" max="33" width="11.7109375" style="187" customWidth="1"/>
    <col min="34" max="34" width="11.7109375" style="188" customWidth="1"/>
    <col min="35" max="35" width="11.7109375" style="187" customWidth="1"/>
    <col min="36" max="36" width="2.28515625" style="187" customWidth="1"/>
    <col min="37" max="37" width="15.5703125" style="187" customWidth="1"/>
    <col min="38" max="38" width="11.42578125" style="187" customWidth="1"/>
    <col min="39" max="39" width="11.42578125" style="187"/>
    <col min="40" max="40" width="11.42578125" style="187" customWidth="1"/>
    <col min="41" max="41" width="42.28515625" style="187" customWidth="1"/>
    <col min="42" max="16384" width="11.42578125" style="187"/>
  </cols>
  <sheetData>
    <row r="1" spans="1:35" s="175" customFormat="1" ht="27" customHeight="1">
      <c r="A1" s="229" t="s">
        <v>340</v>
      </c>
      <c r="B1" s="230"/>
      <c r="C1" s="230"/>
      <c r="D1" s="230"/>
      <c r="E1" s="230"/>
      <c r="F1" s="230"/>
      <c r="G1" s="231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32" t="s">
        <v>153</v>
      </c>
      <c r="B2" s="233"/>
      <c r="C2" s="233"/>
      <c r="D2" s="233"/>
      <c r="E2" s="233"/>
      <c r="F2" s="233"/>
      <c r="G2" s="234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333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339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s="183" customFormat="1" ht="27" customHeight="1">
      <c r="A7" s="179">
        <v>1</v>
      </c>
      <c r="B7" s="186" t="str">
        <f t="shared" ref="B7:C7" si="0">+L7</f>
        <v xml:space="preserve">GUTIERREZ SANCHEZ  MARIA GUADALUPE  </v>
      </c>
      <c r="C7" s="187" t="str">
        <f t="shared" si="0"/>
        <v xml:space="preserve">ASISTENTE DE SECRETARIA GENERAL </v>
      </c>
      <c r="D7" s="188">
        <f>H7*0.75</f>
        <v>247.3895</v>
      </c>
      <c r="E7" s="188">
        <f>I7*0.75</f>
        <v>22.389500000000002</v>
      </c>
      <c r="F7" s="188">
        <f t="shared" ref="F7" si="1">D7-E7</f>
        <v>225</v>
      </c>
      <c r="G7" s="178"/>
      <c r="H7" s="166">
        <f>+N7/15</f>
        <v>329.85266666666666</v>
      </c>
      <c r="I7" s="166">
        <f>+P7/15</f>
        <v>29.852666666666668</v>
      </c>
      <c r="J7" s="168">
        <f t="shared" ref="J7" si="2">+H7-I7</f>
        <v>300</v>
      </c>
      <c r="K7" s="189"/>
      <c r="L7" s="190" t="s">
        <v>323</v>
      </c>
      <c r="M7" s="191" t="s">
        <v>324</v>
      </c>
      <c r="N7" s="192">
        <v>4947.79</v>
      </c>
      <c r="O7" s="193">
        <v>0</v>
      </c>
      <c r="P7" s="193">
        <v>447.79</v>
      </c>
      <c r="Q7" s="171"/>
      <c r="R7" s="194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8"/>
      <c r="AG7" s="187"/>
      <c r="AH7" s="187"/>
      <c r="AI7" s="188"/>
    </row>
    <row r="8" spans="1:35" s="183" customFormat="1" ht="27" customHeight="1">
      <c r="A8" s="179">
        <v>2</v>
      </c>
      <c r="B8" s="186" t="str">
        <f t="shared" ref="B8:B22" si="3">+L8</f>
        <v xml:space="preserve">ABUNDIS SANCHEZ FRANCISCO </v>
      </c>
      <c r="C8" s="187" t="str">
        <f t="shared" ref="C8:C22" si="4">+M8</f>
        <v xml:space="preserve">UNIDAD DE  ATENCION ANIMAL </v>
      </c>
      <c r="D8" s="188">
        <f>H8*10</f>
        <v>2901.7000000000003</v>
      </c>
      <c r="E8" s="188">
        <f>I8*10</f>
        <v>235.03333333333333</v>
      </c>
      <c r="F8" s="188">
        <f t="shared" ref="F8:F22" si="5">D8-E8</f>
        <v>2666.666666666667</v>
      </c>
      <c r="G8" s="178"/>
      <c r="H8" s="166">
        <f t="shared" ref="H8:H22" si="6">+N8/15</f>
        <v>290.17</v>
      </c>
      <c r="I8" s="166">
        <f t="shared" ref="I8:I22" si="7">+P8/15</f>
        <v>23.503333333333334</v>
      </c>
      <c r="J8" s="168">
        <f t="shared" ref="J8:J22" si="8">+H8-I8</f>
        <v>266.66666666666669</v>
      </c>
      <c r="K8" s="189"/>
      <c r="L8" s="190" t="s">
        <v>247</v>
      </c>
      <c r="M8" s="191" t="s">
        <v>248</v>
      </c>
      <c r="N8" s="192">
        <v>4352.55</v>
      </c>
      <c r="O8" s="193">
        <v>0</v>
      </c>
      <c r="P8" s="193">
        <v>352.55</v>
      </c>
      <c r="Q8" s="171"/>
      <c r="R8" s="194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8"/>
      <c r="AG8" s="187"/>
      <c r="AH8" s="187"/>
      <c r="AI8" s="188"/>
    </row>
    <row r="9" spans="1:35" s="183" customFormat="1" ht="27" customHeight="1">
      <c r="A9" s="179">
        <v>3</v>
      </c>
      <c r="B9" s="186" t="str">
        <f t="shared" si="3"/>
        <v xml:space="preserve">ALVAREZ DEL CASTILLO SANCHEZ JORGE ENRIQUE </v>
      </c>
      <c r="C9" s="187" t="str">
        <f t="shared" si="4"/>
        <v>CHOFER DE CAMION ESCOLAR</v>
      </c>
      <c r="D9" s="188">
        <f>H9*3.68</f>
        <v>1090.6784</v>
      </c>
      <c r="E9" s="188">
        <f>I9*3.68+0.53</f>
        <v>90.677733333333336</v>
      </c>
      <c r="F9" s="188">
        <f t="shared" si="5"/>
        <v>1000.0006666666667</v>
      </c>
      <c r="G9" s="178"/>
      <c r="H9" s="166">
        <f t="shared" si="6"/>
        <v>296.38</v>
      </c>
      <c r="I9" s="166">
        <f t="shared" si="7"/>
        <v>24.496666666666666</v>
      </c>
      <c r="J9" s="168">
        <f t="shared" si="8"/>
        <v>271.88333333333333</v>
      </c>
      <c r="K9" s="189"/>
      <c r="L9" s="190" t="s">
        <v>127</v>
      </c>
      <c r="M9" s="191" t="s">
        <v>128</v>
      </c>
      <c r="N9" s="192">
        <v>4445.7</v>
      </c>
      <c r="O9" s="193">
        <v>0</v>
      </c>
      <c r="P9" s="193">
        <v>367.45</v>
      </c>
      <c r="Q9" s="171"/>
      <c r="R9" s="194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8"/>
      <c r="AG9" s="187"/>
      <c r="AH9" s="187"/>
      <c r="AI9" s="188"/>
    </row>
    <row r="10" spans="1:35" s="183" customFormat="1" ht="27" customHeight="1">
      <c r="A10" s="179">
        <v>4</v>
      </c>
      <c r="B10" s="186" t="str">
        <f t="shared" si="3"/>
        <v xml:space="preserve">BECERRA PEREZ MARIA ISABEL </v>
      </c>
      <c r="C10" s="187" t="str">
        <f t="shared" si="4"/>
        <v>AUXILIAR DE INTENDENCIA</v>
      </c>
      <c r="D10" s="188">
        <f>H10*6</f>
        <v>1112.9879999999998</v>
      </c>
      <c r="E10" s="188">
        <f>I10*6</f>
        <v>12.988</v>
      </c>
      <c r="F10" s="188">
        <f t="shared" si="5"/>
        <v>1099.9999999999998</v>
      </c>
      <c r="G10" s="178"/>
      <c r="H10" s="166">
        <f t="shared" si="6"/>
        <v>185.49799999999999</v>
      </c>
      <c r="I10" s="166">
        <f t="shared" si="7"/>
        <v>2.1646666666666667</v>
      </c>
      <c r="J10" s="168">
        <f t="shared" si="8"/>
        <v>183.33333333333331</v>
      </c>
      <c r="K10" s="189"/>
      <c r="L10" s="190" t="s">
        <v>325</v>
      </c>
      <c r="M10" s="191" t="s">
        <v>326</v>
      </c>
      <c r="N10" s="192">
        <v>2782.47</v>
      </c>
      <c r="O10" s="193">
        <v>0</v>
      </c>
      <c r="P10" s="193">
        <v>32.47</v>
      </c>
      <c r="Q10" s="171"/>
      <c r="R10" s="194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8"/>
      <c r="AG10" s="187"/>
      <c r="AH10" s="187"/>
      <c r="AI10" s="188"/>
    </row>
    <row r="11" spans="1:35" s="183" customFormat="1" ht="27" customHeight="1">
      <c r="A11" s="179">
        <v>5</v>
      </c>
      <c r="B11" s="186" t="str">
        <f t="shared" si="3"/>
        <v xml:space="preserve">CORONA OLVERA SALVADOR </v>
      </c>
      <c r="C11" s="187" t="str">
        <f t="shared" si="4"/>
        <v>CHOFER DE CAMION ESCOLAR</v>
      </c>
      <c r="D11" s="188">
        <f>H11*6.201</f>
        <v>2214.9971999999998</v>
      </c>
      <c r="E11" s="188">
        <f>I11*6.201+0.03</f>
        <v>214.99386600000003</v>
      </c>
      <c r="F11" s="188">
        <f t="shared" si="5"/>
        <v>2000.0033339999998</v>
      </c>
      <c r="G11" s="178"/>
      <c r="H11" s="166">
        <f t="shared" si="6"/>
        <v>357.2</v>
      </c>
      <c r="I11" s="166">
        <f t="shared" si="7"/>
        <v>34.666000000000004</v>
      </c>
      <c r="J11" s="168">
        <f t="shared" si="8"/>
        <v>322.53399999999999</v>
      </c>
      <c r="K11" s="189"/>
      <c r="L11" s="190" t="s">
        <v>134</v>
      </c>
      <c r="M11" s="191" t="s">
        <v>128</v>
      </c>
      <c r="N11" s="192">
        <v>5358</v>
      </c>
      <c r="O11" s="193">
        <v>0</v>
      </c>
      <c r="P11" s="193">
        <v>519.99</v>
      </c>
      <c r="Q11" s="171"/>
      <c r="R11" s="194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8"/>
      <c r="AG11" s="187"/>
      <c r="AH11" s="187"/>
      <c r="AI11" s="188"/>
    </row>
    <row r="12" spans="1:35" s="183" customFormat="1" ht="27" customHeight="1">
      <c r="A12" s="179">
        <v>6</v>
      </c>
      <c r="B12" s="186" t="str">
        <f t="shared" si="3"/>
        <v xml:space="preserve">FLORES GONZALEZ EDUARDO </v>
      </c>
      <c r="C12" s="187" t="str">
        <f t="shared" si="4"/>
        <v xml:space="preserve"> JEFE DE DEPARTAMENTO DE PROVEDURIA</v>
      </c>
      <c r="D12" s="188">
        <f>H12*10</f>
        <v>3298.5266666666666</v>
      </c>
      <c r="E12" s="188">
        <f>I12*10</f>
        <v>298.5266666666667</v>
      </c>
      <c r="F12" s="188">
        <f t="shared" si="5"/>
        <v>3000</v>
      </c>
      <c r="G12" s="178"/>
      <c r="H12" s="166">
        <f t="shared" si="6"/>
        <v>329.85266666666666</v>
      </c>
      <c r="I12" s="166">
        <f t="shared" si="7"/>
        <v>29.852666666666668</v>
      </c>
      <c r="J12" s="168">
        <f t="shared" si="8"/>
        <v>300</v>
      </c>
      <c r="K12" s="189"/>
      <c r="L12" s="190" t="s">
        <v>232</v>
      </c>
      <c r="M12" s="191" t="s">
        <v>234</v>
      </c>
      <c r="N12" s="192">
        <v>4947.79</v>
      </c>
      <c r="O12" s="193">
        <v>0</v>
      </c>
      <c r="P12" s="193">
        <v>447.79</v>
      </c>
      <c r="Q12" s="171"/>
      <c r="R12" s="194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8"/>
      <c r="AG12" s="187"/>
      <c r="AH12" s="187"/>
      <c r="AI12" s="188"/>
    </row>
    <row r="13" spans="1:35" s="183" customFormat="1" ht="27" customHeight="1">
      <c r="A13" s="179">
        <v>7</v>
      </c>
      <c r="B13" s="186" t="str">
        <f t="shared" si="3"/>
        <v xml:space="preserve">MARTINEZ GONZALEZ HECTOR MIGUEL </v>
      </c>
      <c r="C13" s="187" t="str">
        <f t="shared" si="4"/>
        <v>CHOFER DE CAMION ESCOLAR</v>
      </c>
      <c r="D13" s="188">
        <f>H13*3.024</f>
        <v>1110.2051520000002</v>
      </c>
      <c r="E13" s="188">
        <f>I13*3.024-0.01</f>
        <v>110.20270400000001</v>
      </c>
      <c r="F13" s="188">
        <f t="shared" si="5"/>
        <v>1000.0024480000002</v>
      </c>
      <c r="G13" s="178"/>
      <c r="H13" s="166">
        <f t="shared" si="6"/>
        <v>367.13133333333337</v>
      </c>
      <c r="I13" s="166">
        <f t="shared" si="7"/>
        <v>36.446000000000005</v>
      </c>
      <c r="J13" s="168">
        <f t="shared" si="8"/>
        <v>330.68533333333335</v>
      </c>
      <c r="K13" s="189"/>
      <c r="L13" s="190" t="s">
        <v>141</v>
      </c>
      <c r="M13" s="191" t="s">
        <v>128</v>
      </c>
      <c r="N13" s="192">
        <v>5506.97</v>
      </c>
      <c r="O13" s="193">
        <v>0</v>
      </c>
      <c r="P13" s="193">
        <v>546.69000000000005</v>
      </c>
      <c r="Q13" s="171"/>
      <c r="R13" s="194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8"/>
      <c r="AG13" s="187"/>
      <c r="AH13" s="187"/>
      <c r="AI13" s="188"/>
    </row>
    <row r="14" spans="1:35" s="183" customFormat="1" ht="27" customHeight="1">
      <c r="A14" s="179">
        <v>8</v>
      </c>
      <c r="B14" s="186" t="str">
        <f t="shared" si="3"/>
        <v xml:space="preserve">MORA GARCIA ADAN </v>
      </c>
      <c r="C14" s="187" t="str">
        <f t="shared" si="4"/>
        <v>DEPARTAMENTO DE MANTENIMIENTO EN GENERAL</v>
      </c>
      <c r="D14" s="188">
        <f>H14*5</f>
        <v>1649.2633333333333</v>
      </c>
      <c r="E14" s="188">
        <f>I14*5</f>
        <v>149.26333333333335</v>
      </c>
      <c r="F14" s="188">
        <f t="shared" si="5"/>
        <v>1500</v>
      </c>
      <c r="G14" s="178"/>
      <c r="H14" s="166">
        <f t="shared" si="6"/>
        <v>329.85266666666666</v>
      </c>
      <c r="I14" s="166">
        <f t="shared" si="7"/>
        <v>29.852666666666668</v>
      </c>
      <c r="J14" s="168">
        <f t="shared" si="8"/>
        <v>300</v>
      </c>
      <c r="K14" s="189"/>
      <c r="L14" s="190" t="s">
        <v>76</v>
      </c>
      <c r="M14" s="191" t="s">
        <v>77</v>
      </c>
      <c r="N14" s="192">
        <v>4947.79</v>
      </c>
      <c r="O14" s="193">
        <v>0</v>
      </c>
      <c r="P14" s="193">
        <v>447.79</v>
      </c>
      <c r="Q14" s="171"/>
      <c r="R14" s="194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8"/>
      <c r="AG14" s="187"/>
      <c r="AH14" s="187"/>
      <c r="AI14" s="188"/>
    </row>
    <row r="15" spans="1:35" s="183" customFormat="1" ht="27" customHeight="1">
      <c r="A15" s="179">
        <v>9</v>
      </c>
      <c r="B15" s="186" t="str">
        <f t="shared" si="3"/>
        <v xml:space="preserve">RAMIREZ MEDINA SAMUEL </v>
      </c>
      <c r="C15" s="187" t="str">
        <f t="shared" si="4"/>
        <v>INTENDENTE C SAN ANTONIO</v>
      </c>
      <c r="D15" s="188">
        <f>H15*10</f>
        <v>1279.0733333333333</v>
      </c>
      <c r="E15" s="188">
        <f>I15*10</f>
        <v>0</v>
      </c>
      <c r="F15" s="188">
        <f t="shared" si="5"/>
        <v>1279.0733333333333</v>
      </c>
      <c r="G15" s="178"/>
      <c r="H15" s="166">
        <f t="shared" si="6"/>
        <v>127.90733333333333</v>
      </c>
      <c r="I15" s="166">
        <f t="shared" si="7"/>
        <v>0</v>
      </c>
      <c r="J15" s="168">
        <f t="shared" si="8"/>
        <v>127.90733333333333</v>
      </c>
      <c r="K15" s="189"/>
      <c r="L15" s="190" t="s">
        <v>222</v>
      </c>
      <c r="M15" s="191" t="s">
        <v>223</v>
      </c>
      <c r="N15" s="192">
        <v>1918.61</v>
      </c>
      <c r="O15" s="193">
        <v>81.39</v>
      </c>
      <c r="P15" s="193">
        <v>0</v>
      </c>
      <c r="Q15" s="171"/>
      <c r="R15" s="194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8"/>
      <c r="AG15" s="187"/>
      <c r="AH15" s="187"/>
      <c r="AI15" s="188"/>
    </row>
    <row r="16" spans="1:35" s="183" customFormat="1" ht="27" customHeight="1">
      <c r="A16" s="179">
        <v>10</v>
      </c>
      <c r="B16" s="186" t="str">
        <f t="shared" si="3"/>
        <v xml:space="preserve">RAMIREZ SANCHEZ JUAN MANUEL </v>
      </c>
      <c r="C16" s="187" t="str">
        <f t="shared" si="4"/>
        <v xml:space="preserve">JEFE DEL DEPARTAMENTO DE AGUA POTABLE </v>
      </c>
      <c r="D16" s="188">
        <f>H16*5</f>
        <v>2269.1066666666666</v>
      </c>
      <c r="E16" s="188">
        <f>I16*5</f>
        <v>269.10666666666668</v>
      </c>
      <c r="F16" s="188">
        <f t="shared" si="5"/>
        <v>2000</v>
      </c>
      <c r="G16" s="178"/>
      <c r="H16" s="166">
        <f t="shared" si="6"/>
        <v>453.82133333333331</v>
      </c>
      <c r="I16" s="166">
        <f t="shared" si="7"/>
        <v>53.821333333333335</v>
      </c>
      <c r="J16" s="168">
        <f t="shared" si="8"/>
        <v>400</v>
      </c>
      <c r="K16" s="189"/>
      <c r="L16" s="190" t="s">
        <v>187</v>
      </c>
      <c r="M16" s="191" t="s">
        <v>188</v>
      </c>
      <c r="N16" s="192">
        <v>6807.32</v>
      </c>
      <c r="O16" s="193">
        <v>0</v>
      </c>
      <c r="P16" s="193">
        <v>807.32</v>
      </c>
      <c r="Q16" s="171"/>
      <c r="R16" s="194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8"/>
      <c r="AG16" s="187"/>
      <c r="AH16" s="187"/>
      <c r="AI16" s="188"/>
    </row>
    <row r="17" spans="1:35" s="183" customFormat="1" ht="27" customHeight="1">
      <c r="A17" s="179">
        <v>11</v>
      </c>
      <c r="B17" s="186" t="str">
        <f t="shared" si="3"/>
        <v xml:space="preserve">RUVALCABA RUVALCABA LORENA </v>
      </c>
      <c r="C17" s="187" t="str">
        <f t="shared" si="4"/>
        <v>INTENDENTE B EN LA PLAZA</v>
      </c>
      <c r="D17" s="188">
        <f t="shared" ref="D17:D21" si="9">H17</f>
        <v>185.49799999999999</v>
      </c>
      <c r="E17" s="188">
        <f t="shared" ref="E17:E21" si="10">I17</f>
        <v>2.1646666666666667</v>
      </c>
      <c r="F17" s="188">
        <f t="shared" si="5"/>
        <v>183.33333333333331</v>
      </c>
      <c r="G17" s="178"/>
      <c r="H17" s="166">
        <f t="shared" si="6"/>
        <v>185.49799999999999</v>
      </c>
      <c r="I17" s="166">
        <f t="shared" si="7"/>
        <v>2.1646666666666667</v>
      </c>
      <c r="J17" s="168">
        <f t="shared" si="8"/>
        <v>183.33333333333331</v>
      </c>
      <c r="K17" s="189"/>
      <c r="L17" s="190" t="s">
        <v>111</v>
      </c>
      <c r="M17" s="191" t="s">
        <v>112</v>
      </c>
      <c r="N17" s="192">
        <v>2782.47</v>
      </c>
      <c r="O17" s="193">
        <v>0</v>
      </c>
      <c r="P17" s="193">
        <v>32.47</v>
      </c>
      <c r="Q17" s="171"/>
      <c r="R17" s="194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8"/>
      <c r="AG17" s="187"/>
      <c r="AH17" s="187"/>
      <c r="AI17" s="188"/>
    </row>
    <row r="18" spans="1:35" s="183" customFormat="1" ht="27" customHeight="1">
      <c r="A18" s="179">
        <v>12</v>
      </c>
      <c r="B18" s="186" t="str">
        <f t="shared" si="3"/>
        <v xml:space="preserve">YANEZ JIMENEZ JOSE MANUEL </v>
      </c>
      <c r="C18" s="187" t="str">
        <f t="shared" si="4"/>
        <v>CUADRILLA AGUA POTABLE Y ALCAN</v>
      </c>
      <c r="D18" s="188">
        <f>H18*10.944</f>
        <v>3272.6937600000006</v>
      </c>
      <c r="E18" s="188">
        <f>I18*10.9416</f>
        <v>272.69384959999996</v>
      </c>
      <c r="F18" s="188">
        <f t="shared" si="5"/>
        <v>2999.9999104000008</v>
      </c>
      <c r="G18" s="178"/>
      <c r="H18" s="166">
        <f t="shared" si="6"/>
        <v>299.04000000000002</v>
      </c>
      <c r="I18" s="166">
        <f t="shared" si="7"/>
        <v>24.922666666666665</v>
      </c>
      <c r="J18" s="168">
        <f t="shared" si="8"/>
        <v>274.11733333333336</v>
      </c>
      <c r="K18" s="195"/>
      <c r="L18" s="195" t="s">
        <v>308</v>
      </c>
      <c r="M18" s="195" t="s">
        <v>57</v>
      </c>
      <c r="N18" s="193">
        <v>4485.6000000000004</v>
      </c>
      <c r="O18" s="171">
        <v>0</v>
      </c>
      <c r="P18" s="171">
        <v>373.84</v>
      </c>
      <c r="Q18" s="171"/>
      <c r="R18" s="194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8"/>
      <c r="AG18" s="187"/>
      <c r="AH18" s="187"/>
      <c r="AI18" s="188"/>
    </row>
    <row r="19" spans="1:35" s="183" customFormat="1" ht="27" customHeight="1">
      <c r="A19" s="179">
        <v>13</v>
      </c>
      <c r="B19" s="186" t="str">
        <f t="shared" si="3"/>
        <v xml:space="preserve">ALONSO RAMIREZ MA GUADALUPE </v>
      </c>
      <c r="C19" s="187" t="str">
        <f t="shared" si="4"/>
        <v>JEFE DE UNIDAD DE COSTOS DE OBRA PÚBLICA</v>
      </c>
      <c r="D19" s="188">
        <f>H19*1.5</f>
        <v>435.255</v>
      </c>
      <c r="E19" s="188">
        <f>I19*1.5</f>
        <v>35.255000000000003</v>
      </c>
      <c r="F19" s="188">
        <f t="shared" si="5"/>
        <v>400</v>
      </c>
      <c r="G19" s="178"/>
      <c r="H19" s="166">
        <f t="shared" si="6"/>
        <v>290.17</v>
      </c>
      <c r="I19" s="166">
        <f t="shared" si="7"/>
        <v>23.503333333333334</v>
      </c>
      <c r="J19" s="168">
        <f t="shared" si="8"/>
        <v>266.66666666666669</v>
      </c>
      <c r="K19" s="195"/>
      <c r="L19" s="195" t="s">
        <v>327</v>
      </c>
      <c r="M19" s="195" t="s">
        <v>328</v>
      </c>
      <c r="N19" s="195">
        <v>4352.55</v>
      </c>
      <c r="O19" s="171">
        <v>0</v>
      </c>
      <c r="P19" s="171">
        <v>352.55</v>
      </c>
      <c r="Q19" s="171"/>
      <c r="R19" s="194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8"/>
      <c r="AG19" s="187"/>
      <c r="AH19" s="187"/>
      <c r="AI19" s="188"/>
    </row>
    <row r="20" spans="1:35" s="183" customFormat="1" ht="27" customHeight="1">
      <c r="A20" s="179">
        <v>14</v>
      </c>
      <c r="B20" s="186" t="str">
        <f t="shared" si="3"/>
        <v xml:space="preserve">CRUZ GONZALEZ ALEJANDRO </v>
      </c>
      <c r="C20" s="187" t="str">
        <f t="shared" si="4"/>
        <v xml:space="preserve">AUXILIAR ADMINISTRATIVO A      </v>
      </c>
      <c r="D20" s="188">
        <f>H20*3</f>
        <v>733.44799999999998</v>
      </c>
      <c r="E20" s="188">
        <f>I20*3</f>
        <v>33.448000000000008</v>
      </c>
      <c r="F20" s="188">
        <f t="shared" si="5"/>
        <v>700</v>
      </c>
      <c r="G20" s="178"/>
      <c r="H20" s="166">
        <f t="shared" si="6"/>
        <v>244.48266666666666</v>
      </c>
      <c r="I20" s="166">
        <f t="shared" si="7"/>
        <v>11.149333333333335</v>
      </c>
      <c r="J20" s="168">
        <f t="shared" si="8"/>
        <v>233.33333333333331</v>
      </c>
      <c r="K20" s="195"/>
      <c r="L20" s="195" t="s">
        <v>329</v>
      </c>
      <c r="M20" s="195" t="s">
        <v>330</v>
      </c>
      <c r="N20" s="195">
        <v>3667.24</v>
      </c>
      <c r="O20" s="171">
        <v>0</v>
      </c>
      <c r="P20" s="171">
        <v>167.24</v>
      </c>
      <c r="Q20" s="171"/>
      <c r="R20" s="194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8"/>
      <c r="AG20" s="187"/>
      <c r="AH20" s="187"/>
      <c r="AI20" s="188"/>
    </row>
    <row r="21" spans="1:35" s="183" customFormat="1" ht="27" customHeight="1">
      <c r="A21" s="179">
        <v>15</v>
      </c>
      <c r="B21" s="186" t="str">
        <f t="shared" si="3"/>
        <v xml:space="preserve">MARTINEZ NERY RAYMUNDO </v>
      </c>
      <c r="C21" s="187" t="str">
        <f t="shared" si="4"/>
        <v>MECANICO A</v>
      </c>
      <c r="D21" s="188">
        <f t="shared" si="9"/>
        <v>358.17466666666667</v>
      </c>
      <c r="E21" s="188">
        <f t="shared" si="10"/>
        <v>34.841333333333331</v>
      </c>
      <c r="F21" s="188">
        <f t="shared" si="5"/>
        <v>323.33333333333331</v>
      </c>
      <c r="G21" s="178"/>
      <c r="H21" s="166">
        <f t="shared" si="6"/>
        <v>358.17466666666667</v>
      </c>
      <c r="I21" s="166">
        <f t="shared" si="7"/>
        <v>34.841333333333331</v>
      </c>
      <c r="J21" s="168">
        <f t="shared" si="8"/>
        <v>323.33333333333331</v>
      </c>
      <c r="K21" s="195"/>
      <c r="L21" s="195" t="s">
        <v>143</v>
      </c>
      <c r="M21" s="195" t="s">
        <v>144</v>
      </c>
      <c r="N21" s="195">
        <v>5372.62</v>
      </c>
      <c r="O21" s="171">
        <v>0</v>
      </c>
      <c r="P21" s="171">
        <v>522.62</v>
      </c>
      <c r="Q21" s="171"/>
      <c r="R21" s="194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8"/>
      <c r="AG21" s="187"/>
      <c r="AH21" s="187"/>
      <c r="AI21" s="188"/>
    </row>
    <row r="22" spans="1:35" s="183" customFormat="1" ht="27" customHeight="1">
      <c r="A22" s="179">
        <v>16</v>
      </c>
      <c r="B22" s="186" t="str">
        <f t="shared" si="3"/>
        <v xml:space="preserve">MORA NUNEZ LUIS </v>
      </c>
      <c r="C22" s="187" t="str">
        <f t="shared" si="4"/>
        <v>JEFE DE DEPARTAMENTO DE OBRAS PUBLICAS</v>
      </c>
      <c r="D22" s="188">
        <f>H22*0.25</f>
        <v>163.55499999999998</v>
      </c>
      <c r="E22" s="188">
        <f>I22*0.25</f>
        <v>24.156500000000001</v>
      </c>
      <c r="F22" s="188">
        <f t="shared" si="5"/>
        <v>139.39849999999998</v>
      </c>
      <c r="G22" s="178"/>
      <c r="H22" s="166">
        <f t="shared" si="6"/>
        <v>654.21999999999991</v>
      </c>
      <c r="I22" s="166">
        <f t="shared" si="7"/>
        <v>96.626000000000005</v>
      </c>
      <c r="J22" s="168">
        <f t="shared" si="8"/>
        <v>557.59399999999994</v>
      </c>
      <c r="K22" s="195"/>
      <c r="L22" s="195" t="s">
        <v>331</v>
      </c>
      <c r="M22" s="195" t="s">
        <v>332</v>
      </c>
      <c r="N22" s="195">
        <v>9813.2999999999993</v>
      </c>
      <c r="O22" s="171">
        <v>0</v>
      </c>
      <c r="P22" s="171">
        <v>1449.39</v>
      </c>
      <c r="Q22" s="171"/>
      <c r="R22" s="194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8"/>
      <c r="AG22" s="187"/>
      <c r="AH22" s="187"/>
      <c r="AI22" s="188"/>
    </row>
    <row r="23" spans="1:35" s="183" customFormat="1" ht="27" customHeight="1">
      <c r="A23" s="179"/>
      <c r="B23" s="196"/>
      <c r="C23" s="197" t="s">
        <v>165</v>
      </c>
      <c r="D23" s="198">
        <f>SUM(D7:D22)</f>
        <v>22322.552678666671</v>
      </c>
      <c r="E23" s="198">
        <f t="shared" ref="E23:F23" si="11">SUM(E7:E22)</f>
        <v>1805.7411529333335</v>
      </c>
      <c r="F23" s="198">
        <f t="shared" si="11"/>
        <v>20516.811525733334</v>
      </c>
      <c r="G23" s="184"/>
      <c r="H23" s="166"/>
      <c r="I23" s="166"/>
      <c r="J23" s="168"/>
      <c r="K23" s="173"/>
      <c r="L23" s="173"/>
      <c r="M23" s="173"/>
      <c r="N23" s="173"/>
      <c r="O23" s="173"/>
      <c r="P23" s="173"/>
      <c r="Q23" s="190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8"/>
      <c r="AD23" s="187"/>
      <c r="AE23" s="187"/>
      <c r="AF23" s="188"/>
    </row>
    <row r="24" spans="1:35" s="183" customFormat="1" ht="27" customHeight="1">
      <c r="A24" s="179"/>
      <c r="B24" s="196" t="s">
        <v>334</v>
      </c>
      <c r="C24" s="187"/>
      <c r="D24" s="188"/>
      <c r="E24" s="188"/>
      <c r="F24" s="188"/>
      <c r="G24" s="184"/>
      <c r="H24" s="166"/>
      <c r="I24" s="166"/>
      <c r="J24" s="168"/>
      <c r="K24" s="173"/>
      <c r="L24" s="173"/>
      <c r="M24" s="173"/>
      <c r="N24" s="173"/>
      <c r="O24" s="173"/>
      <c r="P24" s="173"/>
      <c r="Q24" s="190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187"/>
      <c r="AE24" s="187"/>
      <c r="AF24" s="188"/>
    </row>
    <row r="25" spans="1:35" s="183" customFormat="1" ht="27" customHeight="1">
      <c r="A25" s="179"/>
      <c r="B25" s="196" t="s">
        <v>335</v>
      </c>
      <c r="C25" s="187"/>
      <c r="D25" s="188"/>
      <c r="E25" s="188"/>
      <c r="F25" s="188"/>
      <c r="G25" s="184"/>
      <c r="H25" s="166"/>
      <c r="I25" s="166"/>
      <c r="J25" s="168"/>
      <c r="K25" s="173"/>
      <c r="L25" s="173"/>
      <c r="M25" s="173"/>
      <c r="N25" s="173"/>
      <c r="O25" s="173"/>
      <c r="P25" s="173"/>
      <c r="Q25" s="190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8"/>
      <c r="AD25" s="187"/>
      <c r="AE25" s="187"/>
      <c r="AF25" s="188"/>
    </row>
    <row r="26" spans="1:35" s="183" customFormat="1" ht="27" customHeight="1">
      <c r="A26" s="179"/>
      <c r="B26" s="196"/>
      <c r="C26" s="187"/>
      <c r="D26" s="188"/>
      <c r="E26" s="188"/>
      <c r="F26" s="188"/>
      <c r="G26" s="184"/>
      <c r="H26" s="166"/>
      <c r="I26" s="166"/>
      <c r="J26" s="168"/>
      <c r="K26" s="173"/>
      <c r="L26" s="173"/>
      <c r="M26" s="173"/>
      <c r="N26" s="173"/>
      <c r="O26" s="173"/>
      <c r="P26" s="173"/>
      <c r="Q26" s="190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8"/>
      <c r="AD26" s="187"/>
      <c r="AE26" s="187"/>
      <c r="AF26" s="188"/>
    </row>
    <row r="27" spans="1:35" s="183" customFormat="1" ht="27" customHeight="1">
      <c r="A27" s="179"/>
      <c r="B27" s="196"/>
      <c r="C27" s="187"/>
      <c r="D27" s="188"/>
      <c r="E27" s="188"/>
      <c r="F27" s="188"/>
      <c r="G27" s="184"/>
      <c r="H27" s="166"/>
      <c r="I27" s="166"/>
      <c r="J27" s="168"/>
      <c r="K27" s="173"/>
      <c r="L27" s="173"/>
      <c r="M27" s="173"/>
      <c r="N27" s="173"/>
      <c r="O27" s="173"/>
      <c r="P27" s="173"/>
      <c r="Q27" s="190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8"/>
      <c r="AD27" s="187"/>
      <c r="AE27" s="187"/>
      <c r="AF27" s="188"/>
    </row>
    <row r="28" spans="1:35" s="183" customFormat="1" ht="27" customHeight="1">
      <c r="A28" s="179"/>
      <c r="B28" s="196"/>
      <c r="C28" s="187"/>
      <c r="D28" s="188"/>
      <c r="E28" s="188"/>
      <c r="F28" s="188"/>
      <c r="G28" s="184"/>
      <c r="H28" s="166"/>
      <c r="I28" s="166"/>
      <c r="J28" s="168"/>
      <c r="K28" s="195"/>
      <c r="L28" s="195"/>
      <c r="M28" s="195"/>
      <c r="N28" s="195"/>
      <c r="O28" s="171"/>
      <c r="P28" s="171"/>
      <c r="Q28" s="190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8"/>
      <c r="AD28" s="187"/>
      <c r="AE28" s="187"/>
      <c r="AF28" s="188"/>
    </row>
    <row r="29" spans="1:35" s="183" customFormat="1" ht="27" customHeight="1">
      <c r="A29" s="179"/>
      <c r="B29" s="196"/>
      <c r="C29" s="187"/>
      <c r="D29" s="188"/>
      <c r="E29" s="188"/>
      <c r="F29" s="188"/>
      <c r="G29" s="184"/>
      <c r="H29" s="166"/>
      <c r="I29" s="166"/>
      <c r="J29" s="168"/>
      <c r="K29" s="195"/>
      <c r="L29" s="195"/>
      <c r="M29" s="195"/>
      <c r="N29" s="195"/>
      <c r="O29" s="171"/>
      <c r="P29" s="171"/>
      <c r="Q29" s="190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8"/>
      <c r="AD29" s="187"/>
      <c r="AE29" s="187"/>
      <c r="AF29" s="188"/>
    </row>
    <row r="30" spans="1:35" s="183" customFormat="1" ht="27" customHeight="1">
      <c r="A30" s="179"/>
      <c r="B30" s="196"/>
      <c r="C30" s="187"/>
      <c r="D30" s="188"/>
      <c r="E30" s="188"/>
      <c r="F30" s="188"/>
      <c r="G30" s="184"/>
      <c r="H30" s="166"/>
      <c r="I30" s="166"/>
      <c r="J30" s="168"/>
      <c r="K30" s="195"/>
      <c r="L30" s="195"/>
      <c r="M30" s="195"/>
      <c r="N30" s="195"/>
      <c r="O30" s="171"/>
      <c r="P30" s="171"/>
      <c r="Q30" s="190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8"/>
      <c r="AD30" s="187"/>
      <c r="AE30" s="187"/>
      <c r="AF30" s="188"/>
    </row>
    <row r="31" spans="1:35" s="183" customFormat="1" ht="27" customHeight="1">
      <c r="A31" s="226" t="s">
        <v>24</v>
      </c>
      <c r="B31" s="227"/>
      <c r="C31" s="227"/>
      <c r="D31" s="227"/>
      <c r="E31" s="227"/>
      <c r="F31" s="227"/>
      <c r="G31" s="228"/>
      <c r="H31" s="166"/>
      <c r="I31" s="166"/>
      <c r="J31" s="168"/>
      <c r="K31" s="195"/>
      <c r="L31" s="195"/>
      <c r="M31" s="195"/>
      <c r="N31" s="195"/>
      <c r="O31" s="171"/>
      <c r="P31" s="171"/>
      <c r="Q31" s="190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8"/>
      <c r="AD31" s="187"/>
      <c r="AE31" s="187"/>
      <c r="AF31" s="188"/>
    </row>
    <row r="32" spans="1:35" s="183" customFormat="1" ht="27" customHeight="1">
      <c r="A32" s="226" t="s">
        <v>244</v>
      </c>
      <c r="B32" s="227"/>
      <c r="C32" s="227"/>
      <c r="D32" s="227"/>
      <c r="E32" s="227"/>
      <c r="F32" s="227"/>
      <c r="G32" s="228"/>
      <c r="H32" s="166"/>
      <c r="I32" s="166"/>
      <c r="J32" s="168"/>
      <c r="K32" s="195"/>
      <c r="L32" s="195"/>
      <c r="M32" s="195"/>
      <c r="N32" s="195"/>
      <c r="O32" s="171"/>
      <c r="P32" s="171"/>
      <c r="Q32" s="190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8"/>
      <c r="AD32" s="187"/>
      <c r="AE32" s="187"/>
      <c r="AF32" s="188"/>
    </row>
    <row r="33" spans="1:35" s="183" customFormat="1" ht="27" customHeight="1">
      <c r="A33" s="226" t="str">
        <f>+A3</f>
        <v xml:space="preserve">AYUNTAMIENTO Y QUE  CORRESPONDEN A LA 2DA QUINCENA DE DICIEMBRE DE 2019 </v>
      </c>
      <c r="B33" s="227"/>
      <c r="C33" s="227"/>
      <c r="D33" s="227"/>
      <c r="E33" s="227"/>
      <c r="F33" s="227"/>
      <c r="G33" s="228"/>
      <c r="H33" s="166"/>
      <c r="I33" s="166"/>
      <c r="J33" s="168"/>
      <c r="K33" s="195"/>
      <c r="L33" s="195"/>
      <c r="M33" s="195"/>
      <c r="N33" s="195"/>
      <c r="O33" s="171"/>
      <c r="P33" s="171"/>
      <c r="Q33" s="190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8"/>
      <c r="AD33" s="187"/>
      <c r="AE33" s="187"/>
      <c r="AF33" s="188"/>
    </row>
    <row r="34" spans="1:35" s="183" customFormat="1" ht="27" customHeight="1">
      <c r="A34" s="226" t="s">
        <v>322</v>
      </c>
      <c r="B34" s="227"/>
      <c r="C34" s="227"/>
      <c r="D34" s="227"/>
      <c r="E34" s="227"/>
      <c r="F34" s="227"/>
      <c r="G34" s="228"/>
      <c r="H34" s="166"/>
      <c r="I34" s="166"/>
      <c r="J34" s="168"/>
      <c r="K34" s="173"/>
      <c r="L34" s="173"/>
      <c r="M34" s="173"/>
      <c r="N34" s="173"/>
      <c r="O34" s="173"/>
      <c r="P34" s="173"/>
      <c r="Q34" s="190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8"/>
      <c r="AD34" s="187"/>
      <c r="AE34" s="187"/>
      <c r="AF34" s="188"/>
    </row>
    <row r="35" spans="1:35" s="183" customFormat="1" ht="27" customHeight="1">
      <c r="A35" s="199"/>
      <c r="B35" s="200"/>
      <c r="C35" s="201"/>
      <c r="D35" s="202"/>
      <c r="E35" s="202"/>
      <c r="F35" s="202"/>
      <c r="G35" s="203"/>
      <c r="H35" s="166"/>
      <c r="I35" s="166"/>
      <c r="J35" s="168"/>
      <c r="K35" s="173"/>
      <c r="L35" s="173"/>
      <c r="M35" s="173"/>
      <c r="N35" s="173"/>
      <c r="O35" s="173"/>
      <c r="P35" s="173"/>
      <c r="Q35" s="190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8"/>
      <c r="AD35" s="187"/>
      <c r="AE35" s="187"/>
      <c r="AF35" s="188"/>
    </row>
    <row r="36" spans="1:35" s="183" customFormat="1" ht="27" customHeight="1">
      <c r="A36" s="199">
        <v>1</v>
      </c>
      <c r="B36" s="200"/>
      <c r="C36" s="200" t="str">
        <f t="shared" ref="B36:C36" si="12">+M36</f>
        <v>POLICIA DE LINEA</v>
      </c>
      <c r="D36" s="202">
        <f>+H36</f>
        <v>391.47533333333337</v>
      </c>
      <c r="E36" s="202">
        <f>+I36</f>
        <v>40.808666666666667</v>
      </c>
      <c r="F36" s="202">
        <f>+D36-E36</f>
        <v>350.66666666666669</v>
      </c>
      <c r="G36" s="203"/>
      <c r="H36" s="166">
        <f t="shared" ref="H36" si="13">+N36/15</f>
        <v>391.47533333333337</v>
      </c>
      <c r="I36" s="166">
        <f t="shared" ref="I36" si="14">+P36/15</f>
        <v>40.808666666666667</v>
      </c>
      <c r="J36" s="168">
        <f t="shared" ref="J36" si="15">+H36-I36</f>
        <v>350.66666666666669</v>
      </c>
      <c r="K36" s="195"/>
      <c r="L36" s="195" t="s">
        <v>178</v>
      </c>
      <c r="M36" s="195" t="s">
        <v>90</v>
      </c>
      <c r="N36" s="195">
        <v>5872.13</v>
      </c>
      <c r="O36" s="171">
        <v>0</v>
      </c>
      <c r="P36" s="171">
        <v>612.13</v>
      </c>
      <c r="Q36" s="171"/>
      <c r="R36" s="194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8"/>
      <c r="AG36" s="187"/>
      <c r="AH36" s="187"/>
      <c r="AI36" s="188"/>
    </row>
    <row r="37" spans="1:35" s="183" customFormat="1" ht="27" customHeight="1">
      <c r="A37" s="199">
        <v>2</v>
      </c>
      <c r="B37" s="200" t="str">
        <f t="shared" ref="B37:B38" si="16">+L37</f>
        <v>MERCADO MENDOZA YVETTE JOCELYN</v>
      </c>
      <c r="C37" s="200" t="str">
        <f t="shared" ref="C37:C38" si="17">+M37</f>
        <v>MEDICO MUNICIPAL</v>
      </c>
      <c r="D37" s="202">
        <f>+H37*15.36</f>
        <v>7296.2252800000006</v>
      </c>
      <c r="E37" s="202">
        <f>+I37*15.36</f>
        <v>896.22528</v>
      </c>
      <c r="F37" s="202">
        <f t="shared" ref="F37:F38" si="18">+D37-E37</f>
        <v>6400.0000000000009</v>
      </c>
      <c r="G37" s="203"/>
      <c r="H37" s="166">
        <f t="shared" ref="H37:H38" si="19">+N37/15</f>
        <v>475.0146666666667</v>
      </c>
      <c r="I37" s="166">
        <f t="shared" ref="I37:I38" si="20">+P37/15</f>
        <v>58.347999999999999</v>
      </c>
      <c r="J37" s="168">
        <f t="shared" ref="J37:J38" si="21">+H37-I37</f>
        <v>416.66666666666669</v>
      </c>
      <c r="K37" s="195"/>
      <c r="L37" s="195" t="s">
        <v>312</v>
      </c>
      <c r="M37" s="195" t="s">
        <v>313</v>
      </c>
      <c r="N37" s="195">
        <v>7125.22</v>
      </c>
      <c r="O37" s="171">
        <v>0</v>
      </c>
      <c r="P37" s="171">
        <v>875.22</v>
      </c>
      <c r="Q37" s="190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8"/>
      <c r="AC37" s="187"/>
      <c r="AD37" s="187"/>
      <c r="AE37" s="188"/>
    </row>
    <row r="38" spans="1:35" s="183" customFormat="1" ht="27" customHeight="1">
      <c r="A38" s="199">
        <v>3</v>
      </c>
      <c r="B38" s="200"/>
      <c r="C38" s="200" t="str">
        <f t="shared" si="17"/>
        <v>POLICIA DE LINEA</v>
      </c>
      <c r="D38" s="202">
        <f t="shared" ref="D38" si="22">+H38</f>
        <v>391.47533333333337</v>
      </c>
      <c r="E38" s="202">
        <f t="shared" ref="E38" si="23">+I38</f>
        <v>40.808666666666667</v>
      </c>
      <c r="F38" s="202">
        <f t="shared" si="18"/>
        <v>350.66666666666669</v>
      </c>
      <c r="G38" s="203"/>
      <c r="H38" s="166">
        <f t="shared" si="19"/>
        <v>391.47533333333337</v>
      </c>
      <c r="I38" s="166">
        <f t="shared" si="20"/>
        <v>40.808666666666667</v>
      </c>
      <c r="J38" s="168">
        <f t="shared" si="21"/>
        <v>350.66666666666669</v>
      </c>
      <c r="K38" s="195"/>
      <c r="L38" s="195" t="s">
        <v>298</v>
      </c>
      <c r="M38" s="195" t="s">
        <v>90</v>
      </c>
      <c r="N38" s="195">
        <v>5872.13</v>
      </c>
      <c r="O38" s="193">
        <v>0</v>
      </c>
      <c r="P38" s="193">
        <v>612.13</v>
      </c>
      <c r="Q38" s="190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8"/>
      <c r="AC38" s="187"/>
      <c r="AD38" s="187"/>
      <c r="AE38" s="188"/>
    </row>
    <row r="39" spans="1:35" s="183" customFormat="1" ht="27" customHeight="1">
      <c r="A39" s="199"/>
      <c r="B39" s="200"/>
      <c r="C39" s="201"/>
      <c r="D39" s="202"/>
      <c r="E39" s="202"/>
      <c r="F39" s="202"/>
      <c r="G39" s="203"/>
      <c r="H39" s="166"/>
      <c r="I39" s="166"/>
      <c r="J39" s="204"/>
      <c r="K39" s="189"/>
      <c r="L39" s="190"/>
      <c r="M39" s="195"/>
      <c r="N39" s="195"/>
      <c r="O39" s="171"/>
      <c r="P39" s="190"/>
      <c r="Q39" s="190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8"/>
      <c r="AC39" s="187"/>
      <c r="AD39" s="187"/>
      <c r="AE39" s="188"/>
    </row>
    <row r="40" spans="1:35" s="183" customFormat="1" ht="27" customHeight="1">
      <c r="A40" s="199"/>
      <c r="B40" s="200"/>
      <c r="C40" s="201"/>
      <c r="D40" s="202"/>
      <c r="E40" s="202"/>
      <c r="F40" s="202"/>
      <c r="G40" s="203"/>
      <c r="H40" s="166"/>
      <c r="I40" s="166"/>
      <c r="J40" s="204"/>
      <c r="K40" s="189"/>
      <c r="L40" s="190"/>
      <c r="M40" s="195"/>
      <c r="N40" s="195"/>
      <c r="O40" s="171"/>
      <c r="P40" s="190"/>
      <c r="Q40" s="190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8"/>
      <c r="AC40" s="187"/>
      <c r="AD40" s="187"/>
      <c r="AE40" s="188"/>
    </row>
    <row r="41" spans="1:35" s="183" customFormat="1" ht="27" customHeight="1">
      <c r="A41" s="199"/>
      <c r="B41" s="200"/>
      <c r="C41" s="205" t="s">
        <v>165</v>
      </c>
      <c r="D41" s="206">
        <f>SUM(D36:D40)</f>
        <v>8079.1759466666681</v>
      </c>
      <c r="E41" s="206">
        <f>SUM(E36:E40)</f>
        <v>977.84261333333336</v>
      </c>
      <c r="F41" s="206">
        <f>SUM(F36:F40)</f>
        <v>7101.3333333333348</v>
      </c>
      <c r="G41" s="203"/>
      <c r="H41" s="166"/>
      <c r="I41" s="166"/>
      <c r="J41" s="168"/>
      <c r="K41" s="195"/>
      <c r="L41" s="195"/>
      <c r="M41" s="195"/>
      <c r="N41" s="193"/>
      <c r="O41" s="171"/>
      <c r="P41" s="171"/>
      <c r="Q41" s="190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8"/>
      <c r="AD41" s="187"/>
      <c r="AE41" s="187"/>
      <c r="AF41" s="188"/>
    </row>
    <row r="42" spans="1:35" s="183" customFormat="1" ht="27" customHeight="1">
      <c r="A42" s="199"/>
      <c r="B42" s="200"/>
      <c r="C42" s="207"/>
      <c r="D42" s="202"/>
      <c r="E42" s="202"/>
      <c r="F42" s="202"/>
      <c r="G42" s="203"/>
      <c r="H42" s="166"/>
      <c r="I42" s="166"/>
      <c r="J42" s="168"/>
      <c r="K42" s="195"/>
      <c r="L42" s="195"/>
      <c r="M42" s="195"/>
      <c r="N42" s="193"/>
      <c r="O42" s="171"/>
      <c r="P42" s="171"/>
      <c r="Q42" s="190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8"/>
      <c r="AD42" s="187"/>
      <c r="AE42" s="187"/>
      <c r="AF42" s="188"/>
    </row>
    <row r="43" spans="1:35" s="183" customFormat="1" ht="27" customHeight="1">
      <c r="A43" s="199"/>
      <c r="B43" s="200" t="s">
        <v>336</v>
      </c>
      <c r="C43" s="207"/>
      <c r="D43" s="202"/>
      <c r="E43" s="202"/>
      <c r="F43" s="202"/>
      <c r="G43" s="203"/>
      <c r="H43" s="166"/>
      <c r="I43" s="166"/>
      <c r="J43" s="168"/>
      <c r="K43" s="195"/>
      <c r="L43" s="195"/>
      <c r="M43" s="195"/>
      <c r="N43" s="195"/>
      <c r="O43" s="171"/>
      <c r="P43" s="193"/>
      <c r="Q43" s="190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8"/>
      <c r="AE43" s="187"/>
      <c r="AF43" s="187"/>
      <c r="AG43" s="188"/>
    </row>
    <row r="44" spans="1:35" s="183" customFormat="1" ht="27" customHeight="1">
      <c r="A44" s="199"/>
      <c r="B44" s="200" t="str">
        <f>+B25</f>
        <v>IXTLAHUACAN DEL RIO JALISCO A 31 DE DICIEMBRE DE 2019</v>
      </c>
      <c r="C44" s="207"/>
      <c r="D44" s="202"/>
      <c r="E44" s="202"/>
      <c r="F44" s="202"/>
      <c r="G44" s="203"/>
      <c r="H44" s="166"/>
      <c r="I44" s="166"/>
      <c r="J44" s="168"/>
      <c r="K44" s="195"/>
      <c r="L44" s="195"/>
      <c r="M44" s="195"/>
      <c r="N44" s="195"/>
      <c r="O44" s="171"/>
      <c r="P44" s="193"/>
      <c r="Q44" s="190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8"/>
      <c r="AE44" s="187"/>
      <c r="AF44" s="187"/>
      <c r="AG44" s="188"/>
    </row>
    <row r="45" spans="1:35" s="183" customFormat="1" ht="27" customHeight="1">
      <c r="A45" s="199"/>
      <c r="B45" s="200"/>
      <c r="C45" s="207"/>
      <c r="D45" s="202"/>
      <c r="E45" s="202"/>
      <c r="F45" s="202"/>
      <c r="G45" s="203"/>
      <c r="H45" s="166"/>
      <c r="I45" s="166"/>
      <c r="J45" s="168"/>
      <c r="K45" s="195"/>
      <c r="L45" s="195"/>
      <c r="M45" s="195"/>
      <c r="N45" s="195"/>
      <c r="O45" s="171"/>
      <c r="P45" s="193"/>
      <c r="Q45" s="190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8"/>
      <c r="AE45" s="187"/>
      <c r="AF45" s="187"/>
      <c r="AG45" s="188"/>
    </row>
    <row r="46" spans="1:35" s="183" customFormat="1" ht="27" customHeight="1">
      <c r="A46" s="199"/>
      <c r="B46" s="200"/>
      <c r="C46" s="207"/>
      <c r="D46" s="202"/>
      <c r="E46" s="202"/>
      <c r="F46" s="202"/>
      <c r="G46" s="203"/>
      <c r="H46" s="166"/>
      <c r="I46" s="166"/>
      <c r="J46" s="168"/>
      <c r="K46" s="195"/>
      <c r="L46" s="195"/>
      <c r="M46" s="195"/>
      <c r="N46" s="195"/>
      <c r="O46" s="171"/>
      <c r="P46" s="193"/>
      <c r="Q46" s="190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8"/>
      <c r="AE46" s="187"/>
      <c r="AF46" s="187"/>
      <c r="AG46" s="188"/>
    </row>
    <row r="47" spans="1:35" s="183" customFormat="1" ht="27" customHeight="1">
      <c r="A47" s="179"/>
      <c r="B47" s="196"/>
      <c r="C47" s="187"/>
      <c r="D47" s="188"/>
      <c r="E47" s="188"/>
      <c r="F47" s="188"/>
      <c r="G47" s="184"/>
      <c r="H47" s="166"/>
      <c r="I47" s="166"/>
      <c r="J47" s="168"/>
      <c r="K47" s="195"/>
      <c r="L47" s="195"/>
      <c r="M47" s="195"/>
      <c r="N47" s="195"/>
      <c r="O47" s="193"/>
      <c r="P47" s="195"/>
      <c r="Q47" s="171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8"/>
      <c r="AF47" s="187"/>
      <c r="AG47" s="187"/>
      <c r="AH47" s="188"/>
    </row>
    <row r="48" spans="1:35" s="183" customFormat="1" ht="27" customHeight="1">
      <c r="A48" s="208"/>
      <c r="B48" s="196"/>
      <c r="C48" s="209"/>
      <c r="D48" s="210"/>
      <c r="E48" s="210"/>
      <c r="F48" s="210"/>
      <c r="G48" s="184"/>
      <c r="H48" s="166"/>
      <c r="I48" s="174"/>
      <c r="J48" s="168"/>
      <c r="K48" s="169"/>
      <c r="L48" s="211"/>
      <c r="M48" s="212"/>
      <c r="N48" s="212"/>
      <c r="O48" s="173"/>
      <c r="P48" s="212"/>
      <c r="Q48" s="171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8"/>
      <c r="AF48" s="187"/>
      <c r="AG48" s="187"/>
      <c r="AH48" s="188"/>
    </row>
    <row r="49" spans="1:34" s="183" customFormat="1" ht="27" customHeight="1">
      <c r="A49" s="208"/>
      <c r="B49" s="196"/>
      <c r="C49" s="209"/>
      <c r="D49" s="213"/>
      <c r="E49" s="213"/>
      <c r="F49" s="213"/>
      <c r="G49" s="184"/>
      <c r="H49" s="166"/>
      <c r="I49" s="174"/>
      <c r="J49" s="168"/>
      <c r="K49" s="169"/>
      <c r="L49" s="211"/>
      <c r="M49" s="212"/>
      <c r="N49" s="212"/>
      <c r="O49" s="173"/>
      <c r="P49" s="212"/>
      <c r="Q49" s="171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8"/>
      <c r="AF49" s="187"/>
      <c r="AG49" s="187"/>
      <c r="AH49" s="188"/>
    </row>
    <row r="50" spans="1:34" s="183" customFormat="1" ht="27" customHeight="1">
      <c r="A50" s="208"/>
      <c r="C50" s="214"/>
      <c r="D50" s="210"/>
      <c r="E50" s="210"/>
      <c r="F50" s="210"/>
      <c r="G50" s="184" t="s">
        <v>18</v>
      </c>
      <c r="H50" s="166"/>
      <c r="I50" s="174"/>
      <c r="J50" s="168">
        <f>SUM(H50-I50)</f>
        <v>0</v>
      </c>
      <c r="K50" s="169"/>
      <c r="L50" s="211"/>
      <c r="M50" s="212"/>
      <c r="N50" s="215"/>
      <c r="O50" s="173"/>
      <c r="P50" s="173"/>
      <c r="Q50" s="171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8"/>
      <c r="AF50" s="187"/>
      <c r="AG50" s="187"/>
      <c r="AH50" s="188"/>
    </row>
    <row r="51" spans="1:34" s="183" customFormat="1" ht="27" customHeight="1">
      <c r="A51" s="208"/>
      <c r="C51" s="209"/>
      <c r="D51" s="210"/>
      <c r="E51" s="210"/>
      <c r="F51" s="210"/>
      <c r="G51" s="184" t="s">
        <v>18</v>
      </c>
      <c r="H51" s="166"/>
      <c r="I51" s="174"/>
      <c r="J51" s="168">
        <f>SUM(H51-I51)</f>
        <v>0</v>
      </c>
      <c r="K51" s="169"/>
      <c r="L51" s="216"/>
      <c r="M51" s="171"/>
      <c r="N51" s="172"/>
      <c r="O51" s="173"/>
      <c r="P51" s="173"/>
      <c r="Q51" s="171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8"/>
      <c r="AF51" s="187"/>
      <c r="AG51" s="187"/>
      <c r="AH51" s="188"/>
    </row>
    <row r="52" spans="1:34" s="183" customFormat="1" ht="27" customHeight="1">
      <c r="A52" s="208"/>
      <c r="B52" s="196"/>
      <c r="C52" s="209"/>
      <c r="D52" s="217"/>
      <c r="E52" s="217"/>
      <c r="F52" s="218"/>
      <c r="G52" s="184" t="s">
        <v>18</v>
      </c>
      <c r="H52" s="174"/>
      <c r="I52" s="174"/>
      <c r="J52" s="168"/>
      <c r="K52" s="190"/>
      <c r="L52" s="190"/>
      <c r="M52" s="171"/>
      <c r="N52" s="172"/>
      <c r="O52" s="173"/>
      <c r="P52" s="173"/>
      <c r="Q52" s="171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8"/>
      <c r="AF52" s="187"/>
      <c r="AG52" s="187"/>
      <c r="AH52" s="188"/>
    </row>
    <row r="60" spans="1:34" ht="27" customHeight="1">
      <c r="D60" s="188"/>
      <c r="E60" s="188"/>
      <c r="F60" s="188"/>
    </row>
    <row r="61" spans="1:34" ht="27" customHeight="1">
      <c r="D61" s="188"/>
      <c r="E61" s="188"/>
      <c r="F61" s="188"/>
    </row>
    <row r="62" spans="1:34" ht="27" customHeight="1">
      <c r="D62" s="188"/>
      <c r="E62" s="188"/>
      <c r="F62" s="188"/>
    </row>
    <row r="63" spans="1:34" ht="27" customHeight="1">
      <c r="D63" s="188"/>
      <c r="E63" s="188"/>
      <c r="F63" s="188"/>
    </row>
    <row r="64" spans="1:34" ht="27" customHeight="1">
      <c r="C64" s="219"/>
      <c r="D64" s="198"/>
      <c r="E64" s="198"/>
      <c r="F64" s="198"/>
    </row>
  </sheetData>
  <mergeCells count="8">
    <mergeCell ref="A33:G33"/>
    <mergeCell ref="A34:G34"/>
    <mergeCell ref="A1:G1"/>
    <mergeCell ref="A2:G2"/>
    <mergeCell ref="A3:G3"/>
    <mergeCell ref="A4:G4"/>
    <mergeCell ref="A31:G31"/>
    <mergeCell ref="A32:G32"/>
  </mergeCells>
  <pageMargins left="0.23622047244094491" right="0.23622047244094491" top="0.74803149606299213" bottom="0.74803149606299213" header="0.31496062992125984" footer="0.31496062992125984"/>
  <pageSetup scale="5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8"/>
  <sheetViews>
    <sheetView zoomScale="80" zoomScaleNormal="80" workbookViewId="0">
      <selection activeCell="B51" sqref="B51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40.85546875" style="30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37" style="6" customWidth="1"/>
    <col min="8" max="8" width="11.42578125" style="18"/>
    <col min="9" max="9" width="9.5703125" style="16" customWidth="1"/>
    <col min="10" max="10" width="17.5703125" style="157" customWidth="1"/>
    <col min="11" max="11" width="16.7109375" style="87" customWidth="1"/>
    <col min="12" max="12" width="23.42578125" style="109" customWidth="1"/>
    <col min="13" max="13" width="9.7109375" style="95" customWidth="1"/>
    <col min="14" max="14" width="10" style="117" bestFit="1" customWidth="1"/>
    <col min="15" max="15" width="7.85546875" style="131" bestFit="1" customWidth="1"/>
    <col min="16" max="16" width="7.7109375" style="131" bestFit="1" customWidth="1"/>
    <col min="17" max="17" width="11.7109375" style="95" customWidth="1"/>
    <col min="18" max="18" width="6.85546875" style="6" customWidth="1"/>
    <col min="19" max="19" width="13.85546875" style="6" customWidth="1"/>
    <col min="20" max="20" width="11.7109375" style="6" customWidth="1"/>
    <col min="21" max="21" width="43.42578125" style="6" customWidth="1"/>
    <col min="22" max="30" width="11.7109375" style="6" customWidth="1"/>
    <col min="31" max="31" width="11.7109375" style="20" customWidth="1"/>
    <col min="32" max="33" width="11.7109375" style="6" customWidth="1"/>
    <col min="34" max="34" width="11.7109375" style="20" customWidth="1"/>
    <col min="35" max="35" width="11.7109375" style="6" customWidth="1"/>
    <col min="36" max="36" width="2.28515625" style="6" customWidth="1"/>
    <col min="37" max="37" width="15.5703125" style="6" customWidth="1"/>
    <col min="38" max="38" width="11.42578125" style="6" customWidth="1"/>
    <col min="39" max="39" width="11.42578125" style="6"/>
    <col min="40" max="40" width="11.42578125" style="6" customWidth="1"/>
    <col min="41" max="41" width="42.28515625" style="6" customWidth="1"/>
    <col min="42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6"/>
      <c r="G1" s="166"/>
      <c r="H1" s="167"/>
      <c r="I1" s="168"/>
      <c r="J1" s="169"/>
      <c r="K1" s="170"/>
      <c r="L1" s="171"/>
      <c r="M1" s="172"/>
      <c r="N1" s="173"/>
      <c r="O1" s="173"/>
      <c r="P1" s="174"/>
      <c r="AD1" s="176"/>
      <c r="AG1" s="176"/>
    </row>
    <row r="2" spans="1:35" s="175" customFormat="1" ht="27" customHeight="1">
      <c r="A2" s="247" t="s">
        <v>153</v>
      </c>
      <c r="B2" s="248"/>
      <c r="C2" s="248"/>
      <c r="D2" s="248"/>
      <c r="E2" s="248"/>
      <c r="F2" s="249"/>
      <c r="G2" s="166"/>
      <c r="H2" s="167"/>
      <c r="I2" s="177"/>
      <c r="J2" s="169"/>
      <c r="K2" s="170"/>
      <c r="L2" s="171"/>
      <c r="M2" s="172"/>
      <c r="N2" s="173"/>
      <c r="O2" s="173"/>
      <c r="P2" s="174"/>
      <c r="AD2" s="176"/>
      <c r="AG2" s="176"/>
    </row>
    <row r="3" spans="1:35" s="175" customFormat="1" ht="27" customHeight="1">
      <c r="A3" s="235" t="s">
        <v>253</v>
      </c>
      <c r="B3" s="236"/>
      <c r="C3" s="236"/>
      <c r="D3" s="236"/>
      <c r="E3" s="236"/>
      <c r="F3" s="237"/>
      <c r="G3" s="166"/>
      <c r="H3" s="167"/>
      <c r="I3" s="168"/>
      <c r="J3" s="169"/>
      <c r="K3" s="170"/>
      <c r="L3" s="171"/>
      <c r="M3" s="172"/>
      <c r="N3" s="178"/>
      <c r="O3" s="173"/>
      <c r="P3" s="174"/>
      <c r="AD3" s="176"/>
      <c r="AG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7"/>
      <c r="G4" s="166"/>
      <c r="H4" s="167"/>
      <c r="I4" s="168"/>
      <c r="J4" s="169"/>
      <c r="K4" s="170"/>
      <c r="L4" s="171"/>
      <c r="M4" s="172"/>
      <c r="N4" s="178"/>
      <c r="O4" s="173"/>
      <c r="P4" s="174"/>
      <c r="AD4" s="176"/>
      <c r="AG4" s="176"/>
    </row>
    <row r="5" spans="1:35" s="175" customFormat="1" ht="27" customHeight="1">
      <c r="A5" s="179"/>
      <c r="B5" s="181"/>
      <c r="C5" s="182"/>
      <c r="D5" s="183"/>
      <c r="E5" s="183"/>
      <c r="F5" s="184"/>
      <c r="G5" s="166"/>
      <c r="H5" s="167"/>
      <c r="I5" s="168"/>
      <c r="J5" s="169"/>
      <c r="K5" s="170"/>
      <c r="L5" s="171"/>
      <c r="M5" s="172"/>
      <c r="N5" s="178"/>
      <c r="O5" s="173"/>
      <c r="P5" s="174"/>
      <c r="AD5" s="176"/>
      <c r="AG5" s="176"/>
    </row>
    <row r="6" spans="1:35" s="175" customFormat="1" ht="27" customHeight="1">
      <c r="A6" s="185"/>
      <c r="B6" s="221" t="s">
        <v>0</v>
      </c>
      <c r="C6" s="222" t="s">
        <v>6</v>
      </c>
      <c r="D6" s="223" t="s">
        <v>15</v>
      </c>
      <c r="E6" s="224" t="s">
        <v>10</v>
      </c>
      <c r="F6" s="225" t="s">
        <v>16</v>
      </c>
      <c r="G6" s="166" t="s">
        <v>1</v>
      </c>
      <c r="H6" s="167"/>
      <c r="I6" s="168"/>
      <c r="J6" s="169"/>
      <c r="K6" s="170"/>
      <c r="L6" s="171"/>
      <c r="M6" s="172"/>
      <c r="N6" s="178"/>
      <c r="O6" s="173"/>
      <c r="P6" s="174"/>
      <c r="AD6" s="176"/>
      <c r="AG6" s="176"/>
    </row>
    <row r="7" spans="1:35" ht="27" customHeight="1">
      <c r="A7" s="31"/>
      <c r="C7" s="6"/>
      <c r="D7" s="20"/>
      <c r="E7" s="20"/>
      <c r="F7" s="20"/>
      <c r="G7" s="7"/>
      <c r="I7" s="18"/>
      <c r="K7" s="142"/>
      <c r="L7" s="134"/>
      <c r="M7" s="148"/>
      <c r="N7" s="158"/>
      <c r="O7" s="158"/>
      <c r="P7" s="158"/>
      <c r="R7" s="2"/>
      <c r="S7" s="3"/>
      <c r="AC7" s="20"/>
      <c r="AE7" s="6"/>
      <c r="AF7" s="20"/>
      <c r="AH7" s="6"/>
    </row>
    <row r="8" spans="1:35" ht="27" customHeight="1">
      <c r="A8" s="31"/>
      <c r="C8" s="6"/>
      <c r="D8" s="20"/>
      <c r="E8" s="20"/>
      <c r="F8" s="20"/>
      <c r="G8" s="7"/>
      <c r="I8" s="18"/>
      <c r="K8" s="142"/>
      <c r="L8" s="146"/>
      <c r="M8" s="148"/>
      <c r="N8" s="141"/>
      <c r="O8" s="141"/>
      <c r="P8" s="141"/>
      <c r="R8" s="2"/>
      <c r="S8" s="3"/>
      <c r="AC8" s="20"/>
      <c r="AE8" s="6"/>
      <c r="AF8" s="20"/>
      <c r="AH8" s="6"/>
    </row>
    <row r="9" spans="1:35" s="3" customFormat="1" ht="27" customHeight="1">
      <c r="A9" s="31"/>
      <c r="B9" s="8"/>
      <c r="C9" s="6"/>
      <c r="D9" s="20"/>
      <c r="E9" s="20"/>
      <c r="F9" s="20"/>
      <c r="G9" s="7"/>
      <c r="H9" s="18"/>
      <c r="I9" s="18"/>
      <c r="J9" s="157"/>
      <c r="K9" s="142"/>
      <c r="L9" s="98"/>
      <c r="M9" s="144"/>
      <c r="N9" s="134"/>
      <c r="O9" s="134"/>
      <c r="P9" s="97"/>
      <c r="Q9" s="95"/>
      <c r="R9" s="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0"/>
      <c r="AG9" s="6"/>
      <c r="AH9" s="6"/>
      <c r="AI9" s="20"/>
    </row>
    <row r="10" spans="1:35" s="3" customFormat="1" ht="27" customHeight="1">
      <c r="A10" s="31"/>
      <c r="B10" s="10"/>
      <c r="C10" s="6"/>
      <c r="D10" s="20"/>
      <c r="E10" s="20"/>
      <c r="F10" s="20"/>
      <c r="G10" s="7"/>
      <c r="H10" s="18"/>
      <c r="I10" s="18"/>
      <c r="J10" s="157"/>
      <c r="K10" s="134"/>
      <c r="L10" s="134"/>
      <c r="M10" s="134"/>
      <c r="N10" s="134"/>
      <c r="O10" s="134"/>
      <c r="P10" s="134"/>
      <c r="Q10" s="95"/>
      <c r="R10" s="2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0"/>
      <c r="AG10" s="6"/>
      <c r="AH10" s="6"/>
      <c r="AI10" s="20"/>
    </row>
    <row r="11" spans="1:35" s="3" customFormat="1" ht="27" customHeight="1">
      <c r="A11" s="31"/>
      <c r="B11" s="10"/>
      <c r="C11" s="6"/>
      <c r="D11" s="20"/>
      <c r="E11" s="20"/>
      <c r="F11" s="20"/>
      <c r="G11" s="7"/>
      <c r="H11" s="18"/>
      <c r="I11" s="18"/>
      <c r="J11" s="157"/>
      <c r="K11" s="142"/>
      <c r="L11" s="98"/>
      <c r="M11" s="156"/>
      <c r="N11" s="141"/>
      <c r="O11" s="141"/>
      <c r="P11" s="141"/>
      <c r="Q11" s="95"/>
      <c r="R11" s="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0"/>
      <c r="AG11" s="6"/>
      <c r="AH11" s="6"/>
      <c r="AI11" s="20"/>
    </row>
    <row r="12" spans="1:35" s="3" customFormat="1" ht="27" customHeight="1">
      <c r="A12" s="31"/>
      <c r="B12" s="10"/>
      <c r="C12" s="6"/>
      <c r="D12" s="20"/>
      <c r="E12" s="20"/>
      <c r="F12" s="20"/>
      <c r="G12" s="7"/>
      <c r="H12" s="18"/>
      <c r="I12" s="18"/>
      <c r="J12" s="157"/>
      <c r="K12" s="142"/>
      <c r="L12" s="146"/>
      <c r="M12" s="148"/>
      <c r="N12" s="141"/>
      <c r="O12" s="141"/>
      <c r="P12" s="141"/>
      <c r="Q12" s="98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20"/>
      <c r="AD12" s="6"/>
      <c r="AE12" s="6"/>
      <c r="AF12" s="20"/>
    </row>
    <row r="13" spans="1:35" s="3" customFormat="1" ht="27" customHeight="1">
      <c r="A13" s="31"/>
      <c r="B13" s="10"/>
      <c r="C13" s="6"/>
      <c r="D13" s="20"/>
      <c r="E13" s="20"/>
      <c r="F13" s="20"/>
      <c r="G13" s="7"/>
      <c r="H13" s="18"/>
      <c r="I13" s="18"/>
      <c r="J13" s="157"/>
      <c r="K13" s="142"/>
      <c r="L13" s="98"/>
      <c r="M13" s="144"/>
      <c r="N13" s="134"/>
      <c r="O13" s="134"/>
      <c r="P13" s="134"/>
      <c r="Q13" s="95"/>
      <c r="R13" s="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0"/>
      <c r="AG13" s="6"/>
      <c r="AH13" s="6"/>
      <c r="AI13" s="20"/>
    </row>
    <row r="14" spans="1:35" s="3" customFormat="1" ht="27" customHeight="1">
      <c r="A14" s="31"/>
      <c r="B14" s="10"/>
      <c r="C14" s="6"/>
      <c r="D14" s="20"/>
      <c r="E14" s="20"/>
      <c r="F14" s="20"/>
      <c r="G14" s="7"/>
      <c r="H14" s="18"/>
      <c r="I14" s="18"/>
      <c r="J14" s="157"/>
      <c r="K14" s="142"/>
      <c r="L14" s="146"/>
      <c r="M14" s="148"/>
      <c r="N14" s="134"/>
      <c r="O14" s="134"/>
      <c r="P14" s="134"/>
      <c r="Q14" s="95"/>
      <c r="R14" s="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0"/>
      <c r="AG14" s="6"/>
      <c r="AH14" s="6"/>
      <c r="AI14" s="20"/>
    </row>
    <row r="15" spans="1:35" s="3" customFormat="1" ht="27" customHeight="1">
      <c r="A15" s="31"/>
      <c r="B15" s="10"/>
      <c r="C15" s="6"/>
      <c r="D15" s="20"/>
      <c r="E15" s="20"/>
      <c r="F15" s="20"/>
      <c r="G15" s="7"/>
      <c r="H15" s="18"/>
      <c r="I15" s="18"/>
      <c r="J15" s="157"/>
      <c r="K15" s="134"/>
      <c r="L15" s="134"/>
      <c r="M15" s="134"/>
      <c r="N15" s="134"/>
      <c r="O15" s="134"/>
      <c r="P15" s="134"/>
      <c r="Q15" s="95"/>
      <c r="R15" s="2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20"/>
      <c r="AG15" s="6"/>
      <c r="AH15" s="6"/>
      <c r="AI15" s="20"/>
    </row>
    <row r="16" spans="1:35" s="3" customFormat="1" ht="27" customHeight="1">
      <c r="A16" s="31"/>
      <c r="B16" s="10"/>
      <c r="C16" s="6"/>
      <c r="D16" s="20"/>
      <c r="E16" s="20"/>
      <c r="F16" s="20"/>
      <c r="G16" s="7"/>
      <c r="H16" s="18"/>
      <c r="I16" s="18"/>
      <c r="J16" s="157"/>
      <c r="K16" s="142"/>
      <c r="L16" s="146"/>
      <c r="M16" s="159"/>
      <c r="N16" s="141"/>
      <c r="O16" s="141"/>
      <c r="P16" s="141"/>
      <c r="Q16" s="95"/>
      <c r="R16" s="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20"/>
      <c r="AG16" s="6"/>
      <c r="AH16" s="6"/>
      <c r="AI16" s="20"/>
    </row>
    <row r="17" spans="1:35" s="3" customFormat="1" ht="27" customHeight="1">
      <c r="A17" s="31"/>
      <c r="B17" s="10"/>
      <c r="C17" s="6"/>
      <c r="D17" s="20"/>
      <c r="E17" s="20"/>
      <c r="F17" s="20"/>
      <c r="G17" s="7"/>
      <c r="H17" s="18"/>
      <c r="I17" s="18"/>
      <c r="J17" s="157"/>
      <c r="K17" s="142"/>
      <c r="L17" s="146"/>
      <c r="M17" s="148"/>
      <c r="N17" s="134"/>
      <c r="O17" s="134"/>
      <c r="P17" s="97"/>
      <c r="Q17" s="95"/>
      <c r="R17" s="2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20"/>
      <c r="AG17" s="6"/>
      <c r="AH17" s="6"/>
      <c r="AI17" s="20"/>
    </row>
    <row r="18" spans="1:35" s="3" customFormat="1" ht="27" customHeight="1">
      <c r="A18" s="31"/>
      <c r="B18" s="10"/>
      <c r="C18" s="6"/>
      <c r="D18" s="20"/>
      <c r="E18" s="20"/>
      <c r="F18" s="20"/>
      <c r="G18" s="7"/>
      <c r="H18" s="18"/>
      <c r="I18" s="18"/>
      <c r="J18" s="157"/>
      <c r="K18" s="142"/>
      <c r="L18" s="146"/>
      <c r="M18" s="148"/>
      <c r="N18" s="141"/>
      <c r="O18" s="141"/>
      <c r="P18" s="141"/>
      <c r="Q18" s="95"/>
      <c r="R18" s="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20"/>
      <c r="AG18" s="6"/>
      <c r="AH18" s="6"/>
      <c r="AI18" s="20"/>
    </row>
    <row r="19" spans="1:35" ht="27" customHeight="1">
      <c r="A19" s="31"/>
      <c r="C19" s="6"/>
      <c r="D19" s="66"/>
      <c r="E19" s="20"/>
      <c r="F19" s="20"/>
      <c r="G19" s="24"/>
      <c r="J19" s="86"/>
      <c r="L19" s="134"/>
      <c r="M19" s="134"/>
      <c r="N19" s="135"/>
      <c r="O19" s="138"/>
      <c r="P19" s="138"/>
      <c r="R19" s="2"/>
      <c r="S19" s="3"/>
      <c r="AC19" s="20"/>
      <c r="AE19" s="6"/>
      <c r="AF19" s="20"/>
      <c r="AH19" s="6"/>
    </row>
    <row r="20" spans="1:35" s="3" customFormat="1" ht="27" customHeight="1">
      <c r="A20" s="31"/>
      <c r="B20" s="10"/>
      <c r="C20" s="6"/>
      <c r="D20" s="20"/>
      <c r="E20" s="20"/>
      <c r="F20" s="20"/>
      <c r="G20" s="7"/>
      <c r="H20" s="18"/>
      <c r="I20" s="16"/>
      <c r="J20" s="157"/>
      <c r="K20" s="134"/>
      <c r="L20" s="134"/>
      <c r="M20" s="134"/>
      <c r="N20" s="97"/>
      <c r="O20" s="95"/>
      <c r="P20" s="95"/>
      <c r="Q20" s="98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20"/>
      <c r="AD20" s="6"/>
      <c r="AE20" s="6"/>
      <c r="AF20" s="20"/>
    </row>
    <row r="21" spans="1:35" s="3" customFormat="1" ht="27" customHeight="1">
      <c r="A21" s="31"/>
      <c r="B21" s="10"/>
      <c r="C21" s="67" t="s">
        <v>165</v>
      </c>
      <c r="D21" s="63">
        <f>SUM(D7:D20)</f>
        <v>0</v>
      </c>
      <c r="E21" s="63">
        <f t="shared" ref="E21:F21" si="0">SUM(E7:E20)</f>
        <v>0</v>
      </c>
      <c r="F21" s="63">
        <f t="shared" si="0"/>
        <v>0</v>
      </c>
      <c r="G21" s="7"/>
      <c r="H21" s="18"/>
      <c r="I21" s="18"/>
      <c r="J21" s="157"/>
      <c r="K21" s="134"/>
      <c r="L21" s="134"/>
      <c r="M21" s="134"/>
      <c r="N21" s="97"/>
      <c r="O21" s="95"/>
      <c r="P21" s="95"/>
      <c r="Q21" s="98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20"/>
      <c r="AD21" s="6"/>
      <c r="AE21" s="6"/>
      <c r="AF21" s="20"/>
    </row>
    <row r="22" spans="1:35" s="3" customFormat="1" ht="27" customHeight="1">
      <c r="A22" s="31"/>
      <c r="B22" s="10" t="s">
        <v>252</v>
      </c>
      <c r="C22" s="6"/>
      <c r="D22" s="20"/>
      <c r="E22" s="20"/>
      <c r="F22" s="20"/>
      <c r="G22" s="7"/>
      <c r="H22" s="18"/>
      <c r="I22" s="18"/>
      <c r="J22" s="157"/>
      <c r="K22" s="134"/>
      <c r="L22" s="134"/>
      <c r="M22" s="134"/>
      <c r="N22" s="134"/>
      <c r="O22" s="95"/>
      <c r="P22" s="95"/>
      <c r="Q22" s="98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20"/>
      <c r="AD22" s="6"/>
      <c r="AE22" s="6"/>
      <c r="AF22" s="20"/>
    </row>
    <row r="23" spans="1:35" s="3" customFormat="1" ht="27" customHeight="1">
      <c r="A23" s="31"/>
      <c r="B23" s="10" t="s">
        <v>257</v>
      </c>
      <c r="C23" s="6"/>
      <c r="D23" s="20"/>
      <c r="E23" s="20"/>
      <c r="F23" s="20"/>
      <c r="G23" s="7"/>
      <c r="H23" s="18"/>
      <c r="I23" s="18"/>
      <c r="J23" s="157"/>
      <c r="K23" s="134"/>
      <c r="L23" s="134"/>
      <c r="M23" s="134"/>
      <c r="N23" s="134"/>
      <c r="O23" s="95"/>
      <c r="P23" s="95"/>
      <c r="Q23" s="98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20"/>
      <c r="AD23" s="6"/>
      <c r="AE23" s="6"/>
      <c r="AF23" s="20"/>
    </row>
    <row r="24" spans="1:35" s="3" customFormat="1" ht="27" customHeight="1">
      <c r="A24" s="31"/>
      <c r="B24" s="10"/>
      <c r="C24" s="6"/>
      <c r="D24" s="20"/>
      <c r="E24" s="20"/>
      <c r="F24" s="20"/>
      <c r="G24" s="7"/>
      <c r="H24" s="18"/>
      <c r="I24" s="18"/>
      <c r="J24" s="157"/>
      <c r="K24" s="134"/>
      <c r="L24" s="134"/>
      <c r="M24" s="134"/>
      <c r="N24" s="134"/>
      <c r="O24" s="95"/>
      <c r="P24" s="95"/>
      <c r="Q24" s="98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20"/>
      <c r="AD24" s="6"/>
      <c r="AE24" s="6"/>
      <c r="AF24" s="20"/>
    </row>
    <row r="25" spans="1:35" s="3" customFormat="1" ht="27" customHeight="1">
      <c r="A25" s="31"/>
      <c r="B25" s="10"/>
      <c r="C25" s="6"/>
      <c r="D25" s="20"/>
      <c r="E25" s="20"/>
      <c r="F25" s="20"/>
      <c r="G25" s="7"/>
      <c r="H25" s="18"/>
      <c r="I25" s="18"/>
      <c r="J25" s="157"/>
      <c r="K25" s="134"/>
      <c r="L25" s="134"/>
      <c r="M25" s="134"/>
      <c r="N25" s="134"/>
      <c r="O25" s="95"/>
      <c r="P25" s="95"/>
      <c r="Q25" s="98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20"/>
      <c r="AD25" s="6"/>
      <c r="AE25" s="6"/>
      <c r="AF25" s="20"/>
    </row>
    <row r="26" spans="1:35" s="3" customFormat="1" ht="27" customHeight="1">
      <c r="A26" s="31"/>
      <c r="B26" s="10"/>
      <c r="C26" s="6"/>
      <c r="D26" s="20"/>
      <c r="E26" s="20"/>
      <c r="F26" s="20"/>
      <c r="G26" s="7"/>
      <c r="H26" s="18"/>
      <c r="I26" s="18"/>
      <c r="J26" s="157"/>
      <c r="K26" s="134"/>
      <c r="L26" s="134"/>
      <c r="M26" s="134"/>
      <c r="N26" s="134"/>
      <c r="O26" s="95"/>
      <c r="P26" s="95"/>
      <c r="Q26" s="98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20"/>
      <c r="AD26" s="6"/>
      <c r="AE26" s="6"/>
      <c r="AF26" s="20"/>
    </row>
    <row r="27" spans="1:35" s="3" customFormat="1" ht="27" customHeight="1">
      <c r="A27" s="31"/>
      <c r="B27" s="10"/>
      <c r="C27" s="6"/>
      <c r="D27" s="20"/>
      <c r="E27" s="20"/>
      <c r="F27" s="20"/>
      <c r="G27" s="7"/>
      <c r="H27" s="18"/>
      <c r="I27" s="18"/>
      <c r="J27" s="157"/>
      <c r="K27" s="134"/>
      <c r="L27" s="134"/>
      <c r="M27" s="134"/>
      <c r="N27" s="134"/>
      <c r="O27" s="95"/>
      <c r="P27" s="95"/>
      <c r="Q27" s="98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20"/>
      <c r="AD27" s="6"/>
      <c r="AE27" s="6"/>
      <c r="AF27" s="20"/>
    </row>
    <row r="28" spans="1:35" s="3" customFormat="1" ht="27" customHeight="1">
      <c r="A28" s="31"/>
      <c r="B28" s="10"/>
      <c r="C28" s="6"/>
      <c r="D28" s="20"/>
      <c r="E28" s="20"/>
      <c r="F28" s="20"/>
      <c r="G28" s="7"/>
      <c r="H28" s="18"/>
      <c r="I28" s="18"/>
      <c r="J28" s="157"/>
      <c r="K28" s="134"/>
      <c r="L28" s="134"/>
      <c r="M28" s="134"/>
      <c r="N28" s="134"/>
      <c r="O28" s="95"/>
      <c r="P28" s="95"/>
      <c r="Q28" s="98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20"/>
      <c r="AD28" s="6"/>
      <c r="AE28" s="6"/>
      <c r="AF28" s="20"/>
    </row>
    <row r="29" spans="1:35" s="3" customFormat="1" ht="27" customHeight="1">
      <c r="A29" s="241" t="s">
        <v>24</v>
      </c>
      <c r="B29" s="242"/>
      <c r="C29" s="242"/>
      <c r="D29" s="242"/>
      <c r="E29" s="242"/>
      <c r="F29" s="242"/>
      <c r="G29" s="243"/>
      <c r="H29" s="18"/>
      <c r="I29" s="18"/>
      <c r="J29" s="157"/>
      <c r="K29" s="134"/>
      <c r="L29" s="134"/>
      <c r="M29" s="134"/>
      <c r="N29" s="134"/>
      <c r="O29" s="95"/>
      <c r="P29" s="95"/>
      <c r="Q29" s="98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20"/>
      <c r="AD29" s="6"/>
      <c r="AE29" s="6"/>
      <c r="AF29" s="20"/>
    </row>
    <row r="30" spans="1:35" s="3" customFormat="1" ht="27" customHeight="1">
      <c r="A30" s="241" t="s">
        <v>244</v>
      </c>
      <c r="B30" s="242"/>
      <c r="C30" s="242"/>
      <c r="D30" s="242"/>
      <c r="E30" s="242"/>
      <c r="F30" s="242"/>
      <c r="G30" s="243"/>
      <c r="H30" s="18"/>
      <c r="I30" s="18"/>
      <c r="J30" s="157"/>
      <c r="K30" s="134"/>
      <c r="L30" s="134"/>
      <c r="M30" s="134"/>
      <c r="N30" s="134"/>
      <c r="O30" s="95"/>
      <c r="P30" s="95"/>
      <c r="Q30" s="98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20"/>
      <c r="AD30" s="6"/>
      <c r="AE30" s="6"/>
      <c r="AF30" s="20"/>
    </row>
    <row r="31" spans="1:35" s="3" customFormat="1" ht="27" customHeight="1">
      <c r="A31" s="241" t="str">
        <f>+A3</f>
        <v xml:space="preserve">AYUNTAMIENTO Y QUE  CORRESPONDEN A LA 1RA QUINCENA DE AGOSTO DE 2019 </v>
      </c>
      <c r="B31" s="242"/>
      <c r="C31" s="242"/>
      <c r="D31" s="242"/>
      <c r="E31" s="242"/>
      <c r="F31" s="242"/>
      <c r="G31" s="243"/>
      <c r="H31" s="18"/>
      <c r="I31" s="18"/>
      <c r="J31" s="157"/>
      <c r="K31" s="134"/>
      <c r="L31" s="134"/>
      <c r="M31" s="134"/>
      <c r="N31" s="134"/>
      <c r="O31" s="95"/>
      <c r="P31" s="95"/>
      <c r="Q31" s="98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20"/>
      <c r="AD31" s="6"/>
      <c r="AE31" s="6"/>
      <c r="AF31" s="20"/>
    </row>
    <row r="32" spans="1:35" s="3" customFormat="1" ht="27" customHeight="1">
      <c r="A32" s="241" t="s">
        <v>27</v>
      </c>
      <c r="B32" s="242"/>
      <c r="C32" s="242"/>
      <c r="D32" s="242"/>
      <c r="E32" s="242"/>
      <c r="F32" s="242"/>
      <c r="G32" s="243"/>
      <c r="H32" s="18"/>
      <c r="I32" s="18"/>
      <c r="J32" s="157"/>
      <c r="K32" s="134"/>
      <c r="L32" s="134"/>
      <c r="M32" s="134"/>
      <c r="N32" s="134"/>
      <c r="O32" s="95"/>
      <c r="P32" s="95"/>
      <c r="Q32" s="98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20"/>
      <c r="AD32" s="6"/>
      <c r="AE32" s="6"/>
      <c r="AF32" s="20"/>
    </row>
    <row r="33" spans="1:33" s="3" customFormat="1" ht="27" customHeight="1">
      <c r="A33" s="31"/>
      <c r="B33" s="10"/>
      <c r="C33" s="8"/>
      <c r="D33" s="20"/>
      <c r="E33" s="20"/>
      <c r="F33" s="20"/>
      <c r="G33" s="7"/>
      <c r="H33" s="18"/>
      <c r="I33" s="18"/>
      <c r="J33" s="157"/>
      <c r="K33" s="134"/>
      <c r="L33" s="134"/>
      <c r="M33" s="134"/>
      <c r="N33" s="134"/>
      <c r="O33" s="95"/>
      <c r="P33" s="95"/>
      <c r="Q33" s="98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20"/>
      <c r="AD33" s="6"/>
      <c r="AE33" s="6"/>
      <c r="AF33" s="20"/>
    </row>
    <row r="34" spans="1:33" s="3" customFormat="1" ht="27" customHeight="1">
      <c r="A34" s="31"/>
      <c r="B34" s="10"/>
      <c r="C34" s="8"/>
      <c r="D34" s="20"/>
      <c r="E34" s="20"/>
      <c r="F34" s="20"/>
      <c r="G34" s="7"/>
      <c r="H34" s="18"/>
      <c r="I34" s="18"/>
      <c r="J34" s="86"/>
      <c r="K34" s="134"/>
      <c r="L34" s="134"/>
      <c r="M34" s="134"/>
      <c r="N34" s="134"/>
      <c r="O34" s="95"/>
      <c r="P34" s="98"/>
      <c r="Q34" s="98"/>
      <c r="R34" s="6"/>
      <c r="S34" s="6"/>
      <c r="T34" s="6"/>
      <c r="U34" s="6"/>
      <c r="V34" s="6"/>
      <c r="W34" s="6"/>
      <c r="X34" s="6"/>
      <c r="Y34" s="6"/>
      <c r="Z34" s="6"/>
      <c r="AA34" s="6"/>
      <c r="AB34" s="20"/>
      <c r="AC34" s="6"/>
      <c r="AD34" s="6"/>
      <c r="AE34" s="20"/>
    </row>
    <row r="35" spans="1:33" s="3" customFormat="1" ht="27" customHeight="1">
      <c r="A35" s="31">
        <v>1</v>
      </c>
      <c r="B35" s="10"/>
      <c r="C35" s="8" t="str">
        <f t="shared" ref="B35:C43" si="1">+M35</f>
        <v>POLICIA DE LINEA</v>
      </c>
      <c r="D35" s="20">
        <f>H35*2</f>
        <v>782.95066666666673</v>
      </c>
      <c r="E35" s="20">
        <f>I35*2</f>
        <v>81.617333333333335</v>
      </c>
      <c r="F35" s="20">
        <f t="shared" ref="F35:F43" si="2">D35-E35</f>
        <v>701.33333333333337</v>
      </c>
      <c r="G35" s="7"/>
      <c r="H35" s="18">
        <f t="shared" ref="H35:I43" si="3">+N35/15</f>
        <v>391.47533333333337</v>
      </c>
      <c r="I35" s="18">
        <f t="shared" si="3"/>
        <v>40.808666666666667</v>
      </c>
      <c r="J35" s="86">
        <f t="shared" ref="J35:J43" si="4">+H35-I35</f>
        <v>350.66666666666669</v>
      </c>
      <c r="K35" s="142" t="s">
        <v>241</v>
      </c>
      <c r="L35" s="98" t="s">
        <v>242</v>
      </c>
      <c r="M35" s="134" t="s">
        <v>90</v>
      </c>
      <c r="N35" s="134">
        <v>5872.13</v>
      </c>
      <c r="O35" s="95">
        <v>612.13</v>
      </c>
      <c r="P35" s="98"/>
      <c r="Q35" s="98"/>
      <c r="R35" s="6"/>
      <c r="S35" s="6"/>
      <c r="T35" s="6"/>
      <c r="U35" s="6"/>
      <c r="V35" s="6"/>
      <c r="W35" s="6"/>
      <c r="X35" s="6"/>
      <c r="Y35" s="6"/>
      <c r="Z35" s="6"/>
      <c r="AA35" s="6"/>
      <c r="AB35" s="20"/>
      <c r="AC35" s="6"/>
      <c r="AD35" s="6"/>
      <c r="AE35" s="20"/>
    </row>
    <row r="36" spans="1:33" s="3" customFormat="1" ht="27" customHeight="1">
      <c r="A36" s="31">
        <v>2</v>
      </c>
      <c r="B36" s="10"/>
      <c r="C36" s="8" t="str">
        <f t="shared" si="1"/>
        <v>POLICIA DE LINEA</v>
      </c>
      <c r="D36" s="20">
        <f t="shared" ref="D36:E42" si="5">H36</f>
        <v>391.47533333333337</v>
      </c>
      <c r="E36" s="20">
        <f t="shared" si="5"/>
        <v>40.808666666666667</v>
      </c>
      <c r="F36" s="20">
        <f t="shared" si="2"/>
        <v>350.66666666666669</v>
      </c>
      <c r="G36" s="24"/>
      <c r="H36" s="18">
        <f t="shared" si="3"/>
        <v>391.47533333333337</v>
      </c>
      <c r="I36" s="18">
        <f t="shared" si="3"/>
        <v>40.808666666666667</v>
      </c>
      <c r="J36" s="86">
        <f t="shared" si="4"/>
        <v>350.66666666666669</v>
      </c>
      <c r="K36" s="134" t="s">
        <v>163</v>
      </c>
      <c r="L36" s="134" t="s">
        <v>164</v>
      </c>
      <c r="M36" s="134" t="s">
        <v>90</v>
      </c>
      <c r="N36" s="97">
        <v>5872.13</v>
      </c>
      <c r="O36" s="95">
        <v>612.13</v>
      </c>
      <c r="P36" s="98"/>
      <c r="Q36" s="98"/>
      <c r="R36" s="6"/>
      <c r="S36" s="6"/>
      <c r="T36" s="6"/>
      <c r="U36" s="6"/>
      <c r="V36" s="6"/>
      <c r="W36" s="6"/>
      <c r="X36" s="6"/>
      <c r="Y36" s="6"/>
      <c r="Z36" s="6"/>
      <c r="AA36" s="6"/>
      <c r="AB36" s="20"/>
      <c r="AC36" s="6"/>
      <c r="AD36" s="6"/>
      <c r="AE36" s="20"/>
    </row>
    <row r="37" spans="1:33" s="3" customFormat="1" ht="27" customHeight="1">
      <c r="A37" s="31">
        <v>3</v>
      </c>
      <c r="B37" s="10"/>
      <c r="C37" s="8" t="str">
        <f t="shared" si="1"/>
        <v>POLICIA DE LINEA</v>
      </c>
      <c r="D37" s="20">
        <f t="shared" si="5"/>
        <v>391.47533333333337</v>
      </c>
      <c r="E37" s="20">
        <f t="shared" si="5"/>
        <v>40.808666666666667</v>
      </c>
      <c r="F37" s="20">
        <f t="shared" si="2"/>
        <v>350.66666666666669</v>
      </c>
      <c r="G37" s="24"/>
      <c r="H37" s="18">
        <f t="shared" si="3"/>
        <v>391.47533333333337</v>
      </c>
      <c r="I37" s="18">
        <f t="shared" si="3"/>
        <v>40.808666666666667</v>
      </c>
      <c r="J37" s="86">
        <f t="shared" si="4"/>
        <v>350.66666666666669</v>
      </c>
      <c r="K37" s="134" t="s">
        <v>206</v>
      </c>
      <c r="L37" s="134" t="s">
        <v>207</v>
      </c>
      <c r="M37" s="134" t="s">
        <v>90</v>
      </c>
      <c r="N37" s="97">
        <v>5872.13</v>
      </c>
      <c r="O37" s="95">
        <v>612.13</v>
      </c>
      <c r="P37" s="98"/>
      <c r="Q37" s="98"/>
      <c r="R37" s="6"/>
      <c r="S37" s="6"/>
      <c r="T37" s="6"/>
      <c r="U37" s="6"/>
      <c r="V37" s="6"/>
      <c r="W37" s="6"/>
      <c r="X37" s="6"/>
      <c r="Y37" s="6"/>
      <c r="Z37" s="6"/>
      <c r="AA37" s="6"/>
      <c r="AB37" s="20"/>
      <c r="AC37" s="6"/>
      <c r="AD37" s="6"/>
      <c r="AE37" s="20"/>
    </row>
    <row r="38" spans="1:33" s="3" customFormat="1" ht="27" customHeight="1">
      <c r="A38" s="31">
        <v>4</v>
      </c>
      <c r="B38" s="10"/>
      <c r="C38" s="6" t="str">
        <f t="shared" si="1"/>
        <v>POLICIA DE LINEA</v>
      </c>
      <c r="D38" s="20">
        <f t="shared" si="5"/>
        <v>391.47533333333337</v>
      </c>
      <c r="E38" s="20">
        <f t="shared" si="5"/>
        <v>40.808666666666667</v>
      </c>
      <c r="F38" s="20">
        <f t="shared" si="2"/>
        <v>350.66666666666669</v>
      </c>
      <c r="G38" s="24"/>
      <c r="H38" s="18">
        <f t="shared" si="3"/>
        <v>391.47533333333337</v>
      </c>
      <c r="I38" s="18">
        <f t="shared" si="3"/>
        <v>40.808666666666667</v>
      </c>
      <c r="J38" s="86">
        <f t="shared" si="4"/>
        <v>350.66666666666669</v>
      </c>
      <c r="K38" s="134" t="s">
        <v>161</v>
      </c>
      <c r="L38" s="134" t="s">
        <v>162</v>
      </c>
      <c r="M38" s="134" t="s">
        <v>90</v>
      </c>
      <c r="N38" s="134">
        <v>5872.13</v>
      </c>
      <c r="O38" s="95">
        <v>612.13</v>
      </c>
      <c r="P38" s="95"/>
      <c r="Q38" s="98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20"/>
      <c r="AD38" s="6"/>
      <c r="AE38" s="6"/>
      <c r="AF38" s="20"/>
    </row>
    <row r="39" spans="1:33" s="3" customFormat="1" ht="27" customHeight="1">
      <c r="A39" s="31">
        <v>5</v>
      </c>
      <c r="B39" s="10"/>
      <c r="C39" s="6" t="str">
        <f t="shared" si="1"/>
        <v>POLICIA DE LINEA</v>
      </c>
      <c r="D39" s="20">
        <f t="shared" si="5"/>
        <v>391.47533333333337</v>
      </c>
      <c r="E39" s="20">
        <f t="shared" si="5"/>
        <v>40.808666666666667</v>
      </c>
      <c r="F39" s="20">
        <f t="shared" si="2"/>
        <v>350.66666666666669</v>
      </c>
      <c r="G39" s="24"/>
      <c r="H39" s="18">
        <f t="shared" si="3"/>
        <v>391.47533333333337</v>
      </c>
      <c r="I39" s="18">
        <f t="shared" si="3"/>
        <v>40.808666666666667</v>
      </c>
      <c r="J39" s="86">
        <f t="shared" si="4"/>
        <v>350.66666666666669</v>
      </c>
      <c r="K39" s="134" t="s">
        <v>161</v>
      </c>
      <c r="L39" s="134" t="s">
        <v>162</v>
      </c>
      <c r="M39" s="134" t="s">
        <v>90</v>
      </c>
      <c r="N39" s="134">
        <v>5872.13</v>
      </c>
      <c r="O39" s="95">
        <v>612.13</v>
      </c>
      <c r="P39" s="95"/>
      <c r="Q39" s="98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20"/>
      <c r="AD39" s="6"/>
      <c r="AE39" s="6"/>
      <c r="AF39" s="20"/>
    </row>
    <row r="40" spans="1:33" s="3" customFormat="1" ht="27" customHeight="1">
      <c r="A40" s="31">
        <v>6</v>
      </c>
      <c r="B40" s="10" t="str">
        <f>+L40</f>
        <v xml:space="preserve">CAMACHO FLORES MARIO </v>
      </c>
      <c r="C40" s="8" t="str">
        <f t="shared" si="1"/>
        <v>COMANDANTE</v>
      </c>
      <c r="D40" s="20">
        <f>H40*2</f>
        <v>865.25466666666659</v>
      </c>
      <c r="E40" s="20">
        <f>I40*2</f>
        <v>98.587999999999994</v>
      </c>
      <c r="F40" s="20">
        <f t="shared" si="2"/>
        <v>766.66666666666663</v>
      </c>
      <c r="G40" s="7"/>
      <c r="H40" s="18">
        <f t="shared" si="3"/>
        <v>432.6273333333333</v>
      </c>
      <c r="I40" s="18">
        <f t="shared" si="3"/>
        <v>49.293999999999997</v>
      </c>
      <c r="J40" s="86">
        <f t="shared" si="4"/>
        <v>383.33333333333331</v>
      </c>
      <c r="K40" s="134" t="s">
        <v>216</v>
      </c>
      <c r="L40" s="134" t="s">
        <v>217</v>
      </c>
      <c r="M40" s="134" t="s">
        <v>208</v>
      </c>
      <c r="N40" s="134">
        <v>6489.41</v>
      </c>
      <c r="O40" s="95">
        <v>739.41</v>
      </c>
      <c r="P40" s="98"/>
      <c r="Q40" s="98"/>
      <c r="R40" s="6"/>
      <c r="S40" s="6"/>
      <c r="T40" s="6"/>
      <c r="U40" s="6"/>
      <c r="V40" s="6"/>
      <c r="W40" s="6"/>
      <c r="X40" s="6"/>
      <c r="Y40" s="6"/>
      <c r="Z40" s="6"/>
      <c r="AA40" s="6"/>
      <c r="AB40" s="20"/>
      <c r="AC40" s="6"/>
      <c r="AD40" s="6"/>
      <c r="AE40" s="20"/>
    </row>
    <row r="41" spans="1:33" s="3" customFormat="1" ht="27" customHeight="1">
      <c r="A41" s="31">
        <v>7</v>
      </c>
      <c r="B41" s="10"/>
      <c r="C41" s="8" t="str">
        <f t="shared" si="1"/>
        <v>POLICIA DE LINEA</v>
      </c>
      <c r="D41" s="20">
        <f t="shared" si="5"/>
        <v>391.47533333333337</v>
      </c>
      <c r="E41" s="20">
        <f t="shared" si="5"/>
        <v>40.808666666666667</v>
      </c>
      <c r="F41" s="20">
        <f t="shared" si="2"/>
        <v>350.66666666666669</v>
      </c>
      <c r="G41" s="24"/>
      <c r="H41" s="18">
        <f t="shared" si="3"/>
        <v>391.47533333333337</v>
      </c>
      <c r="I41" s="18">
        <f t="shared" si="3"/>
        <v>40.808666666666667</v>
      </c>
      <c r="J41" s="86">
        <f t="shared" si="4"/>
        <v>350.66666666666669</v>
      </c>
      <c r="K41" s="134" t="s">
        <v>214</v>
      </c>
      <c r="L41" s="134" t="s">
        <v>215</v>
      </c>
      <c r="M41" s="134" t="s">
        <v>90</v>
      </c>
      <c r="N41" s="134">
        <v>5872.13</v>
      </c>
      <c r="O41" s="95">
        <v>612.13</v>
      </c>
      <c r="P41" s="98"/>
      <c r="Q41" s="98"/>
      <c r="R41" s="6"/>
      <c r="S41" s="6"/>
      <c r="T41" s="6"/>
      <c r="U41" s="6"/>
      <c r="V41" s="6"/>
      <c r="W41" s="6"/>
      <c r="X41" s="6"/>
      <c r="Y41" s="6"/>
      <c r="Z41" s="6"/>
      <c r="AA41" s="6"/>
      <c r="AB41" s="20"/>
      <c r="AC41" s="6"/>
      <c r="AD41" s="6"/>
      <c r="AE41" s="20"/>
    </row>
    <row r="42" spans="1:33" s="3" customFormat="1" ht="27" customHeight="1">
      <c r="A42" s="31">
        <v>8</v>
      </c>
      <c r="B42" s="10"/>
      <c r="C42" s="8" t="str">
        <f t="shared" si="1"/>
        <v>POLICIA DE LINEA</v>
      </c>
      <c r="D42" s="20">
        <f t="shared" si="5"/>
        <v>391.47533333333337</v>
      </c>
      <c r="E42" s="20">
        <f t="shared" si="5"/>
        <v>40.808666666666667</v>
      </c>
      <c r="F42" s="20">
        <f t="shared" si="2"/>
        <v>350.66666666666669</v>
      </c>
      <c r="G42" s="7"/>
      <c r="H42" s="18">
        <f t="shared" si="3"/>
        <v>391.47533333333337</v>
      </c>
      <c r="I42" s="18">
        <f t="shared" si="3"/>
        <v>40.808666666666667</v>
      </c>
      <c r="J42" s="86">
        <f t="shared" si="4"/>
        <v>350.66666666666669</v>
      </c>
      <c r="K42" s="134" t="s">
        <v>204</v>
      </c>
      <c r="L42" s="134" t="s">
        <v>205</v>
      </c>
      <c r="M42" s="134" t="s">
        <v>90</v>
      </c>
      <c r="N42" s="134">
        <v>5872.13</v>
      </c>
      <c r="O42" s="95">
        <v>612.13</v>
      </c>
      <c r="P42" s="98"/>
      <c r="Q42" s="98"/>
      <c r="R42" s="6"/>
      <c r="S42" s="6"/>
      <c r="T42" s="6"/>
      <c r="U42" s="6"/>
      <c r="V42" s="6"/>
      <c r="W42" s="6"/>
      <c r="X42" s="6"/>
      <c r="Y42" s="6"/>
      <c r="Z42" s="6"/>
      <c r="AA42" s="6"/>
      <c r="AB42" s="20"/>
      <c r="AC42" s="6"/>
      <c r="AD42" s="6"/>
      <c r="AE42" s="20"/>
    </row>
    <row r="43" spans="1:33" s="3" customFormat="1" ht="27" customHeight="1">
      <c r="A43" s="31">
        <v>9</v>
      </c>
      <c r="B43" s="10"/>
      <c r="C43" s="8" t="str">
        <f t="shared" si="1"/>
        <v>POLICIA DE LINEA</v>
      </c>
      <c r="D43" s="20">
        <f>H43</f>
        <v>391.47533333333337</v>
      </c>
      <c r="E43" s="20">
        <f>I43</f>
        <v>40.808666666666667</v>
      </c>
      <c r="F43" s="20">
        <f t="shared" si="2"/>
        <v>350.66666666666669</v>
      </c>
      <c r="G43" s="7"/>
      <c r="H43" s="18">
        <f t="shared" si="3"/>
        <v>391.47533333333337</v>
      </c>
      <c r="I43" s="18">
        <f t="shared" si="3"/>
        <v>40.808666666666667</v>
      </c>
      <c r="J43" s="86">
        <f t="shared" si="4"/>
        <v>350.66666666666669</v>
      </c>
      <c r="K43" s="142" t="s">
        <v>158</v>
      </c>
      <c r="L43" s="146" t="s">
        <v>159</v>
      </c>
      <c r="M43" s="134" t="s">
        <v>90</v>
      </c>
      <c r="N43" s="97">
        <v>5872.13</v>
      </c>
      <c r="O43" s="95">
        <v>612.13</v>
      </c>
      <c r="P43" s="98"/>
      <c r="Q43" s="98"/>
      <c r="R43" s="6"/>
      <c r="S43" s="6"/>
      <c r="T43" s="6"/>
      <c r="U43" s="6"/>
      <c r="V43" s="6"/>
      <c r="W43" s="6"/>
      <c r="X43" s="6"/>
      <c r="Y43" s="6"/>
      <c r="Z43" s="6"/>
      <c r="AA43" s="6"/>
      <c r="AB43" s="20"/>
      <c r="AC43" s="6"/>
      <c r="AD43" s="6"/>
      <c r="AE43" s="20"/>
    </row>
    <row r="44" spans="1:33" s="3" customFormat="1" ht="27" customHeight="1">
      <c r="A44" s="31"/>
      <c r="B44" s="10"/>
      <c r="C44" s="8"/>
      <c r="D44" s="20"/>
      <c r="E44" s="20"/>
      <c r="F44" s="20"/>
      <c r="G44" s="7"/>
      <c r="H44" s="18"/>
      <c r="I44" s="18"/>
      <c r="J44" s="157"/>
      <c r="K44" s="134"/>
      <c r="L44" s="134"/>
      <c r="M44" s="134"/>
      <c r="N44" s="97"/>
      <c r="O44" s="95"/>
      <c r="P44" s="95"/>
      <c r="Q44" s="98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20"/>
      <c r="AD44" s="6"/>
      <c r="AE44" s="6"/>
      <c r="AF44" s="20"/>
    </row>
    <row r="45" spans="1:33" s="3" customFormat="1" ht="27" customHeight="1">
      <c r="A45" s="31"/>
      <c r="B45" s="10"/>
      <c r="C45" s="67" t="s">
        <v>165</v>
      </c>
      <c r="D45" s="63">
        <f>SUM(D33:D44)</f>
        <v>4388.532666666667</v>
      </c>
      <c r="E45" s="63">
        <f>SUM(E33:E44)</f>
        <v>465.8660000000001</v>
      </c>
      <c r="F45" s="63">
        <f>SUM(F33:F44)</f>
        <v>3922.6666666666661</v>
      </c>
      <c r="G45" s="7"/>
      <c r="H45" s="18"/>
      <c r="I45" s="18"/>
      <c r="J45" s="157"/>
      <c r="K45" s="134"/>
      <c r="L45" s="134"/>
      <c r="M45" s="134"/>
      <c r="N45" s="97"/>
      <c r="O45" s="95"/>
      <c r="P45" s="95"/>
      <c r="Q45" s="98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20"/>
      <c r="AD45" s="6"/>
      <c r="AE45" s="6"/>
      <c r="AF45" s="20"/>
    </row>
    <row r="46" spans="1:33" s="3" customFormat="1" ht="27" customHeight="1">
      <c r="A46" s="31"/>
      <c r="B46" s="10"/>
      <c r="C46" s="6"/>
      <c r="D46" s="20"/>
      <c r="E46" s="20"/>
      <c r="F46" s="20"/>
      <c r="G46" s="7"/>
      <c r="H46" s="18"/>
      <c r="I46" s="18"/>
      <c r="J46" s="157"/>
      <c r="K46" s="134"/>
      <c r="L46" s="134"/>
      <c r="M46" s="134"/>
      <c r="N46" s="97"/>
      <c r="O46" s="95"/>
      <c r="P46" s="95"/>
      <c r="Q46" s="98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20"/>
      <c r="AD46" s="6"/>
      <c r="AE46" s="6"/>
      <c r="AF46" s="20"/>
    </row>
    <row r="47" spans="1:33" s="3" customFormat="1" ht="27" customHeight="1">
      <c r="A47" s="31"/>
      <c r="B47" s="10" t="s">
        <v>258</v>
      </c>
      <c r="C47" s="6"/>
      <c r="D47" s="20"/>
      <c r="E47" s="20"/>
      <c r="F47" s="20"/>
      <c r="G47" s="7"/>
      <c r="H47" s="18"/>
      <c r="I47" s="18"/>
      <c r="J47" s="157"/>
      <c r="K47" s="134"/>
      <c r="L47" s="134"/>
      <c r="M47" s="134"/>
      <c r="N47" s="134"/>
      <c r="O47" s="95"/>
      <c r="P47" s="97"/>
      <c r="Q47" s="98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20"/>
      <c r="AE47" s="6"/>
      <c r="AF47" s="6"/>
      <c r="AG47" s="20"/>
    </row>
    <row r="48" spans="1:33" s="3" customFormat="1" ht="27" customHeight="1">
      <c r="A48" s="31"/>
      <c r="B48" s="10" t="str">
        <f>+B23</f>
        <v>IXTLAHUACAN DEL RIO JALISCO A 15 DE AGOSTO DE 2019</v>
      </c>
      <c r="C48" s="6"/>
      <c r="D48" s="20"/>
      <c r="E48" s="20"/>
      <c r="F48" s="20"/>
      <c r="G48" s="7"/>
      <c r="H48" s="18"/>
      <c r="I48" s="18"/>
      <c r="J48" s="157"/>
      <c r="K48" s="134"/>
      <c r="L48" s="134"/>
      <c r="M48" s="134"/>
      <c r="N48" s="134"/>
      <c r="O48" s="95"/>
      <c r="P48" s="97"/>
      <c r="Q48" s="98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20"/>
      <c r="AE48" s="6"/>
      <c r="AF48" s="6"/>
      <c r="AG48" s="20"/>
    </row>
    <row r="49" spans="1:34" s="3" customFormat="1" ht="27" customHeight="1">
      <c r="A49" s="31"/>
      <c r="B49" s="10"/>
      <c r="C49" s="6"/>
      <c r="D49" s="20"/>
      <c r="E49" s="20"/>
      <c r="F49" s="20"/>
      <c r="G49" s="7"/>
      <c r="H49" s="18"/>
      <c r="I49" s="18"/>
      <c r="J49" s="157"/>
      <c r="K49" s="134"/>
      <c r="L49" s="134"/>
      <c r="M49" s="134"/>
      <c r="N49" s="134"/>
      <c r="O49" s="95"/>
      <c r="P49" s="97"/>
      <c r="Q49" s="98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20"/>
      <c r="AE49" s="6"/>
      <c r="AF49" s="6"/>
      <c r="AG49" s="20"/>
    </row>
    <row r="50" spans="1:34" s="3" customFormat="1" ht="27" customHeight="1">
      <c r="A50" s="31"/>
      <c r="B50" s="10"/>
      <c r="C50" s="6"/>
      <c r="D50" s="20"/>
      <c r="E50" s="20"/>
      <c r="F50" s="20"/>
      <c r="G50" s="7"/>
      <c r="H50" s="18"/>
      <c r="I50" s="18"/>
      <c r="J50" s="157"/>
      <c r="K50" s="134"/>
      <c r="L50" s="134"/>
      <c r="M50" s="134"/>
      <c r="N50" s="134"/>
      <c r="O50" s="95"/>
      <c r="P50" s="97"/>
      <c r="Q50" s="98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20"/>
      <c r="AE50" s="6"/>
      <c r="AF50" s="6"/>
      <c r="AG50" s="20"/>
    </row>
    <row r="51" spans="1:34" s="3" customFormat="1" ht="27" customHeight="1">
      <c r="A51" s="31"/>
      <c r="B51" s="10"/>
      <c r="C51" s="6"/>
      <c r="D51" s="20"/>
      <c r="E51" s="20"/>
      <c r="F51" s="20"/>
      <c r="G51" s="7"/>
      <c r="H51" s="18"/>
      <c r="I51" s="18"/>
      <c r="J51" s="157"/>
      <c r="K51" s="134"/>
      <c r="L51" s="134"/>
      <c r="M51" s="134"/>
      <c r="N51" s="134"/>
      <c r="O51" s="97"/>
      <c r="P51" s="134"/>
      <c r="Q51" s="9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20"/>
      <c r="AF51" s="6"/>
      <c r="AG51" s="6"/>
      <c r="AH51" s="20"/>
    </row>
    <row r="52" spans="1:34" s="3" customFormat="1" ht="27" customHeight="1">
      <c r="A52" s="9"/>
      <c r="B52" s="10"/>
      <c r="C52" s="26"/>
      <c r="D52" s="4"/>
      <c r="E52" s="4"/>
      <c r="F52" s="4"/>
      <c r="G52" s="7"/>
      <c r="H52" s="18"/>
      <c r="I52" s="16"/>
      <c r="J52" s="157"/>
      <c r="K52" s="87"/>
      <c r="L52" s="110"/>
      <c r="M52" s="118"/>
      <c r="N52" s="118"/>
      <c r="O52" s="131"/>
      <c r="P52" s="118"/>
      <c r="Q52" s="95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20"/>
      <c r="AF52" s="6"/>
      <c r="AG52" s="6"/>
      <c r="AH52" s="20"/>
    </row>
    <row r="53" spans="1:34" s="3" customFormat="1" ht="27" customHeight="1">
      <c r="A53" s="9"/>
      <c r="B53" s="10"/>
      <c r="C53" s="26"/>
      <c r="D53" s="32"/>
      <c r="E53" s="32"/>
      <c r="F53" s="32"/>
      <c r="G53" s="7"/>
      <c r="H53" s="18"/>
      <c r="I53" s="16"/>
      <c r="J53" s="157"/>
      <c r="K53" s="87"/>
      <c r="L53" s="110"/>
      <c r="M53" s="118"/>
      <c r="N53" s="118"/>
      <c r="O53" s="131"/>
      <c r="P53" s="118"/>
      <c r="Q53" s="9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20"/>
      <c r="AF53" s="6"/>
      <c r="AG53" s="6"/>
      <c r="AH53" s="20"/>
    </row>
    <row r="54" spans="1:34" s="3" customFormat="1" ht="27" customHeight="1">
      <c r="A54" s="9"/>
      <c r="C54" s="30"/>
      <c r="D54" s="4"/>
      <c r="E54" s="4"/>
      <c r="F54" s="4"/>
      <c r="G54" s="7" t="s">
        <v>18</v>
      </c>
      <c r="H54" s="18"/>
      <c r="I54" s="16"/>
      <c r="J54" s="157">
        <f>SUM(H54-I54)</f>
        <v>0</v>
      </c>
      <c r="K54" s="87"/>
      <c r="L54" s="110"/>
      <c r="M54" s="118"/>
      <c r="N54" s="120"/>
      <c r="O54" s="131"/>
      <c r="P54" s="131"/>
      <c r="Q54" s="95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20"/>
      <c r="AF54" s="6"/>
      <c r="AG54" s="6"/>
      <c r="AH54" s="20"/>
    </row>
    <row r="55" spans="1:34" s="3" customFormat="1" ht="27" customHeight="1">
      <c r="A55" s="9"/>
      <c r="C55" s="26"/>
      <c r="D55" s="4"/>
      <c r="E55" s="4"/>
      <c r="F55" s="4"/>
      <c r="G55" s="7" t="s">
        <v>18</v>
      </c>
      <c r="H55" s="18"/>
      <c r="I55" s="16"/>
      <c r="J55" s="157">
        <f>SUM(H55-I55)</f>
        <v>0</v>
      </c>
      <c r="K55" s="87"/>
      <c r="L55" s="109"/>
      <c r="M55" s="95"/>
      <c r="N55" s="117"/>
      <c r="O55" s="131"/>
      <c r="P55" s="131"/>
      <c r="Q55" s="95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20"/>
      <c r="AF55" s="6"/>
      <c r="AG55" s="6"/>
      <c r="AH55" s="20"/>
    </row>
    <row r="56" spans="1:34" s="3" customFormat="1" ht="27" customHeight="1">
      <c r="A56" s="9"/>
      <c r="B56" s="10"/>
      <c r="C56" s="26"/>
      <c r="D56" s="28"/>
      <c r="E56" s="28"/>
      <c r="F56" s="21"/>
      <c r="G56" s="7" t="s">
        <v>18</v>
      </c>
      <c r="H56" s="16"/>
      <c r="I56" s="16"/>
      <c r="J56" s="157"/>
      <c r="K56" s="98"/>
      <c r="L56" s="98"/>
      <c r="M56" s="95"/>
      <c r="N56" s="117"/>
      <c r="O56" s="131"/>
      <c r="P56" s="131"/>
      <c r="Q56" s="95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20"/>
      <c r="AF56" s="6"/>
      <c r="AG56" s="6"/>
      <c r="AH56" s="20"/>
    </row>
    <row r="64" spans="1:34" ht="27" customHeight="1">
      <c r="D64" s="20"/>
      <c r="E64" s="20"/>
      <c r="F64" s="20"/>
    </row>
    <row r="65" spans="3:6" ht="27" customHeight="1">
      <c r="D65" s="20"/>
      <c r="E65" s="20"/>
      <c r="F65" s="20"/>
    </row>
    <row r="66" spans="3:6" ht="27" customHeight="1">
      <c r="D66" s="20"/>
      <c r="E66" s="20"/>
      <c r="F66" s="20"/>
    </row>
    <row r="67" spans="3:6" ht="27" customHeight="1">
      <c r="D67" s="20"/>
      <c r="E67" s="20"/>
      <c r="F67" s="20"/>
    </row>
    <row r="68" spans="3:6" ht="27" customHeight="1">
      <c r="C68" s="62"/>
      <c r="D68" s="63"/>
      <c r="E68" s="63"/>
      <c r="F68" s="63"/>
    </row>
  </sheetData>
  <mergeCells count="8">
    <mergeCell ref="A31:G31"/>
    <mergeCell ref="A32:G32"/>
    <mergeCell ref="A29:G29"/>
    <mergeCell ref="A30:G30"/>
    <mergeCell ref="A1:F1"/>
    <mergeCell ref="A2:F2"/>
    <mergeCell ref="A3:F3"/>
    <mergeCell ref="A4:F4"/>
  </mergeCells>
  <pageMargins left="0.23622047244094491" right="0.23622047244094491" top="0.74803149606299213" bottom="0.74803149606299213" header="0.31496062992125984" footer="0.31496062992125984"/>
  <pageSetup scale="4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8"/>
  <sheetViews>
    <sheetView zoomScale="80" zoomScaleNormal="80" workbookViewId="0">
      <selection activeCell="B43" sqref="B43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40.7109375" style="30" bestFit="1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37" style="6" customWidth="1"/>
    <col min="8" max="8" width="11.42578125" style="84"/>
    <col min="9" max="9" width="9.5703125" style="91" customWidth="1"/>
    <col min="10" max="10" width="17.5703125" style="157" customWidth="1"/>
    <col min="11" max="11" width="16.7109375" style="87" customWidth="1"/>
    <col min="12" max="12" width="23.42578125" style="109" customWidth="1"/>
    <col min="13" max="13" width="9.7109375" style="95" customWidth="1"/>
    <col min="14" max="14" width="10" style="117" bestFit="1" customWidth="1"/>
    <col min="15" max="15" width="7.85546875" style="131" bestFit="1" customWidth="1"/>
    <col min="16" max="16" width="7.7109375" style="131" bestFit="1" customWidth="1"/>
    <col min="17" max="17" width="11.7109375" style="95" customWidth="1"/>
    <col min="18" max="18" width="6.85546875" style="98" customWidth="1"/>
    <col min="19" max="19" width="13.85546875" style="98" customWidth="1"/>
    <col min="20" max="20" width="11.7109375" style="98" customWidth="1"/>
    <col min="21" max="21" width="43.42578125" style="98" customWidth="1"/>
    <col min="22" max="30" width="11.7109375" style="6" customWidth="1"/>
    <col min="31" max="31" width="11.7109375" style="20" customWidth="1"/>
    <col min="32" max="33" width="11.7109375" style="6" customWidth="1"/>
    <col min="34" max="34" width="11.7109375" style="20" customWidth="1"/>
    <col min="35" max="35" width="11.7109375" style="6" customWidth="1"/>
    <col min="36" max="36" width="2.28515625" style="6" customWidth="1"/>
    <col min="37" max="37" width="15.5703125" style="6" customWidth="1"/>
    <col min="38" max="38" width="11.42578125" style="6" customWidth="1"/>
    <col min="39" max="39" width="11.42578125" style="6"/>
    <col min="40" max="40" width="11.42578125" style="6" customWidth="1"/>
    <col min="41" max="41" width="42.28515625" style="6" customWidth="1"/>
    <col min="42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153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245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ht="27" customHeight="1">
      <c r="A7" s="31">
        <v>1</v>
      </c>
      <c r="B7" s="10" t="str">
        <f t="shared" ref="B7:C7" si="0">+L7</f>
        <v xml:space="preserve">ABUNDIS MUÑOZ ALFREDO </v>
      </c>
      <c r="C7" s="6" t="str">
        <f t="shared" si="0"/>
        <v>CUADRILLA AGUA POTABLE Y ALCAN</v>
      </c>
      <c r="D7" s="20">
        <f>H7*2</f>
        <v>941.55200000000002</v>
      </c>
      <c r="E7" s="20">
        <f>I7*2</f>
        <v>114.88533333333334</v>
      </c>
      <c r="F7" s="20">
        <f t="shared" ref="F7" si="1">D7-E7</f>
        <v>826.66666666666674</v>
      </c>
      <c r="G7" s="7"/>
      <c r="H7" s="84">
        <f t="shared" ref="H7" si="2">+N7/15</f>
        <v>470.77600000000001</v>
      </c>
      <c r="I7" s="84">
        <f t="shared" ref="I7" si="3">+P7/15</f>
        <v>57.442666666666668</v>
      </c>
      <c r="J7" s="157">
        <f t="shared" ref="J7" si="4">+H7-I7</f>
        <v>413.33333333333337</v>
      </c>
      <c r="K7" s="142"/>
      <c r="L7" s="134" t="s">
        <v>56</v>
      </c>
      <c r="M7" s="148" t="s">
        <v>57</v>
      </c>
      <c r="N7" s="158">
        <v>7061.64</v>
      </c>
      <c r="O7" s="158">
        <v>0</v>
      </c>
      <c r="P7" s="158">
        <v>861.64</v>
      </c>
      <c r="R7" s="95"/>
      <c r="S7" s="131"/>
      <c r="AC7" s="20"/>
      <c r="AE7" s="6"/>
      <c r="AF7" s="20"/>
      <c r="AH7" s="6"/>
    </row>
    <row r="8" spans="1:35" ht="27" customHeight="1">
      <c r="A8" s="31">
        <v>2</v>
      </c>
      <c r="B8" s="10" t="str">
        <f t="shared" ref="B8:B18" si="5">+L8</f>
        <v xml:space="preserve">ABUNDIS SANCHEZ FRANCISCO </v>
      </c>
      <c r="C8" s="6" t="str">
        <f t="shared" ref="C8:C18" si="6">+M8</f>
        <v xml:space="preserve">UNIDAD DE  ATENCION ANIMAL </v>
      </c>
      <c r="D8" s="20">
        <f>H8*10</f>
        <v>2444.8266666666668</v>
      </c>
      <c r="E8" s="20">
        <f>I8*10</f>
        <v>111.49333333333334</v>
      </c>
      <c r="F8" s="20">
        <f t="shared" ref="F8:F18" si="7">D8-E8</f>
        <v>2333.3333333333335</v>
      </c>
      <c r="G8" s="7"/>
      <c r="H8" s="84">
        <f t="shared" ref="H8:H18" si="8">+N8/15</f>
        <v>244.48266666666666</v>
      </c>
      <c r="I8" s="84">
        <f>+P8/15</f>
        <v>11.149333333333335</v>
      </c>
      <c r="J8" s="157">
        <f t="shared" ref="J8:J18" si="9">+H8-I8</f>
        <v>233.33333333333331</v>
      </c>
      <c r="K8" s="142"/>
      <c r="L8" s="146" t="s">
        <v>247</v>
      </c>
      <c r="M8" s="148" t="s">
        <v>248</v>
      </c>
      <c r="N8" s="141">
        <v>3667.24</v>
      </c>
      <c r="O8" s="141">
        <v>0</v>
      </c>
      <c r="P8" s="141">
        <v>167.24</v>
      </c>
      <c r="R8" s="95"/>
      <c r="S8" s="131"/>
      <c r="AC8" s="20"/>
      <c r="AE8" s="6"/>
      <c r="AF8" s="20"/>
      <c r="AH8" s="6"/>
    </row>
    <row r="9" spans="1:35" s="3" customFormat="1" ht="27" customHeight="1">
      <c r="A9" s="31">
        <v>3</v>
      </c>
      <c r="B9" s="8" t="str">
        <f t="shared" si="5"/>
        <v xml:space="preserve">ALVAREZ DEL CASTILLO SANCHEZ JORGE ENRIQUE </v>
      </c>
      <c r="C9" s="6" t="str">
        <f t="shared" si="6"/>
        <v>CHOFER DE CAMION ESCOLAR</v>
      </c>
      <c r="D9" s="20">
        <f>H9*3.68</f>
        <v>1090.6784</v>
      </c>
      <c r="E9" s="20">
        <f>I9*3.68+0.53</f>
        <v>90.677733333333336</v>
      </c>
      <c r="F9" s="20">
        <f t="shared" si="7"/>
        <v>1000.0006666666667</v>
      </c>
      <c r="G9" s="7"/>
      <c r="H9" s="84">
        <f t="shared" si="8"/>
        <v>296.38</v>
      </c>
      <c r="I9" s="84">
        <f t="shared" ref="I9:I18" si="10">+P9/15</f>
        <v>24.496666666666666</v>
      </c>
      <c r="J9" s="157">
        <f t="shared" si="9"/>
        <v>271.88333333333333</v>
      </c>
      <c r="K9" s="142"/>
      <c r="L9" s="98" t="s">
        <v>127</v>
      </c>
      <c r="M9" s="144" t="s">
        <v>128</v>
      </c>
      <c r="N9" s="134">
        <v>4445.7</v>
      </c>
      <c r="O9" s="134">
        <v>0</v>
      </c>
      <c r="P9" s="97">
        <v>367.45</v>
      </c>
      <c r="Q9" s="95"/>
      <c r="R9" s="95"/>
      <c r="S9" s="98"/>
      <c r="T9" s="98"/>
      <c r="U9" s="98"/>
      <c r="V9" s="6"/>
      <c r="W9" s="6"/>
      <c r="X9" s="6"/>
      <c r="Y9" s="6"/>
      <c r="Z9" s="6"/>
      <c r="AA9" s="6"/>
      <c r="AB9" s="6"/>
      <c r="AC9" s="6"/>
      <c r="AD9" s="6"/>
      <c r="AE9" s="6"/>
      <c r="AF9" s="20"/>
      <c r="AG9" s="6"/>
      <c r="AH9" s="6"/>
      <c r="AI9" s="20"/>
    </row>
    <row r="10" spans="1:35" s="3" customFormat="1" ht="27" customHeight="1">
      <c r="A10" s="31">
        <v>4</v>
      </c>
      <c r="B10" s="10" t="str">
        <f t="shared" si="5"/>
        <v xml:space="preserve">BARCENAS AVILA ENRIQUE </v>
      </c>
      <c r="C10" s="6" t="str">
        <f t="shared" si="6"/>
        <v xml:space="preserve">CHOFER  DE CAMION DE BASURA </v>
      </c>
      <c r="D10" s="20">
        <f>H10</f>
        <v>244.48266666666666</v>
      </c>
      <c r="E10" s="20">
        <f>I10</f>
        <v>11.149333333333335</v>
      </c>
      <c r="F10" s="20">
        <f t="shared" si="7"/>
        <v>233.33333333333331</v>
      </c>
      <c r="G10" s="7"/>
      <c r="H10" s="84">
        <f t="shared" si="8"/>
        <v>244.48266666666666</v>
      </c>
      <c r="I10" s="84">
        <f t="shared" si="10"/>
        <v>11.149333333333335</v>
      </c>
      <c r="J10" s="157">
        <f t="shared" si="9"/>
        <v>233.33333333333331</v>
      </c>
      <c r="K10" s="134"/>
      <c r="L10" s="134" t="s">
        <v>129</v>
      </c>
      <c r="M10" s="134" t="s">
        <v>130</v>
      </c>
      <c r="N10" s="134">
        <v>3667.24</v>
      </c>
      <c r="O10" s="134">
        <v>0</v>
      </c>
      <c r="P10" s="134">
        <v>167.24</v>
      </c>
      <c r="Q10" s="95"/>
      <c r="R10" s="95"/>
      <c r="S10" s="98"/>
      <c r="T10" s="98"/>
      <c r="U10" s="98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0"/>
      <c r="AG10" s="6"/>
      <c r="AH10" s="6"/>
      <c r="AI10" s="20"/>
    </row>
    <row r="11" spans="1:35" s="3" customFormat="1" ht="27" customHeight="1">
      <c r="A11" s="31">
        <v>5</v>
      </c>
      <c r="B11" s="10" t="str">
        <f t="shared" si="5"/>
        <v xml:space="preserve">CARBAJAL HERNANDEZ ROBERTO </v>
      </c>
      <c r="C11" s="6" t="str">
        <f t="shared" si="6"/>
        <v>CUADRILLA AGUA POTABLE Y ALCAN</v>
      </c>
      <c r="D11" s="20">
        <f>H11*12.768</f>
        <v>3818.1427200000003</v>
      </c>
      <c r="E11" s="20">
        <f>I11*12.768-0.06</f>
        <v>318.14409600000005</v>
      </c>
      <c r="F11" s="20">
        <f t="shared" si="7"/>
        <v>3499.9986240000003</v>
      </c>
      <c r="G11" s="7"/>
      <c r="H11" s="84">
        <f t="shared" si="8"/>
        <v>299.04000000000002</v>
      </c>
      <c r="I11" s="84">
        <f t="shared" si="10"/>
        <v>24.922000000000001</v>
      </c>
      <c r="J11" s="157">
        <f t="shared" si="9"/>
        <v>274.11799999999999</v>
      </c>
      <c r="K11" s="142"/>
      <c r="L11" s="98" t="s">
        <v>131</v>
      </c>
      <c r="M11" s="156" t="s">
        <v>57</v>
      </c>
      <c r="N11" s="141">
        <v>4485.6000000000004</v>
      </c>
      <c r="O11" s="141">
        <v>0</v>
      </c>
      <c r="P11" s="141">
        <v>373.83</v>
      </c>
      <c r="Q11" s="95"/>
      <c r="R11" s="95"/>
      <c r="S11" s="98"/>
      <c r="T11" s="98"/>
      <c r="U11" s="98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0"/>
      <c r="AG11" s="6"/>
      <c r="AH11" s="6"/>
      <c r="AI11" s="20"/>
    </row>
    <row r="12" spans="1:35" s="3" customFormat="1" ht="27" customHeight="1">
      <c r="A12" s="31">
        <v>6</v>
      </c>
      <c r="B12" s="10" t="str">
        <f t="shared" si="5"/>
        <v xml:space="preserve">CORONA OLVERA SALVADOR </v>
      </c>
      <c r="C12" s="6" t="str">
        <f t="shared" si="6"/>
        <v>CHOFER DE CAMION ESCOLAR</v>
      </c>
      <c r="D12" s="20">
        <f>H12*6.201</f>
        <v>2214.9971999999998</v>
      </c>
      <c r="E12" s="20">
        <f>I12*6.201+0.03</f>
        <v>214.99386600000003</v>
      </c>
      <c r="F12" s="20">
        <f t="shared" si="7"/>
        <v>2000.0033339999998</v>
      </c>
      <c r="G12" s="7"/>
      <c r="H12" s="84">
        <f t="shared" si="8"/>
        <v>357.2</v>
      </c>
      <c r="I12" s="84">
        <f t="shared" si="10"/>
        <v>34.666000000000004</v>
      </c>
      <c r="J12" s="157">
        <f t="shared" si="9"/>
        <v>322.53399999999999</v>
      </c>
      <c r="K12" s="142"/>
      <c r="L12" s="146" t="s">
        <v>134</v>
      </c>
      <c r="M12" s="148" t="s">
        <v>128</v>
      </c>
      <c r="N12" s="141">
        <v>5358</v>
      </c>
      <c r="O12" s="141">
        <v>0</v>
      </c>
      <c r="P12" s="141">
        <v>519.99</v>
      </c>
      <c r="Q12" s="98"/>
      <c r="R12" s="98"/>
      <c r="S12" s="98"/>
      <c r="T12" s="98"/>
      <c r="U12" s="98"/>
      <c r="V12" s="6"/>
      <c r="W12" s="6"/>
      <c r="X12" s="6"/>
      <c r="Y12" s="6"/>
      <c r="Z12" s="6"/>
      <c r="AA12" s="6"/>
      <c r="AB12" s="6"/>
      <c r="AC12" s="20"/>
      <c r="AD12" s="6"/>
      <c r="AE12" s="6"/>
      <c r="AF12" s="20"/>
    </row>
    <row r="13" spans="1:35" s="3" customFormat="1" ht="27" customHeight="1">
      <c r="A13" s="31">
        <v>7</v>
      </c>
      <c r="B13" s="10" t="str">
        <f t="shared" si="5"/>
        <v xml:space="preserve">GONZALEZ LIMON JOSE CARLOS </v>
      </c>
      <c r="C13" s="6" t="str">
        <f t="shared" si="6"/>
        <v>UNIDAD DE REHABILITACION DE ESCUELAS</v>
      </c>
      <c r="D13" s="20">
        <f>H13</f>
        <v>244.48266666666666</v>
      </c>
      <c r="E13" s="20">
        <f>I13</f>
        <v>11.149333333333335</v>
      </c>
      <c r="F13" s="20">
        <f t="shared" si="7"/>
        <v>233.33333333333331</v>
      </c>
      <c r="G13" s="7"/>
      <c r="H13" s="84">
        <f t="shared" si="8"/>
        <v>244.48266666666666</v>
      </c>
      <c r="I13" s="84">
        <f t="shared" si="10"/>
        <v>11.149333333333335</v>
      </c>
      <c r="J13" s="157">
        <f t="shared" si="9"/>
        <v>233.33333333333331</v>
      </c>
      <c r="K13" s="142"/>
      <c r="L13" s="98" t="s">
        <v>68</v>
      </c>
      <c r="M13" s="144" t="s">
        <v>69</v>
      </c>
      <c r="N13" s="134">
        <v>3667.24</v>
      </c>
      <c r="O13" s="134">
        <v>0</v>
      </c>
      <c r="P13" s="134">
        <v>167.24</v>
      </c>
      <c r="Q13" s="95"/>
      <c r="R13" s="95"/>
      <c r="S13" s="98"/>
      <c r="T13" s="98"/>
      <c r="U13" s="98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0"/>
      <c r="AG13" s="6"/>
      <c r="AH13" s="6"/>
      <c r="AI13" s="20"/>
    </row>
    <row r="14" spans="1:35" s="3" customFormat="1" ht="27" customHeight="1">
      <c r="A14" s="31">
        <v>8</v>
      </c>
      <c r="B14" s="10" t="str">
        <f t="shared" si="5"/>
        <v xml:space="preserve">JIMENEZ DE LA CRUZ ROGELIO </v>
      </c>
      <c r="C14" s="6" t="str">
        <f t="shared" si="6"/>
        <v>CUADRILLA AGUA POTABLE Y ALCAN</v>
      </c>
      <c r="D14" s="20">
        <f>H14*2</f>
        <v>947.38</v>
      </c>
      <c r="E14" s="20">
        <f>I14*2</f>
        <v>116.12933333333334</v>
      </c>
      <c r="F14" s="20">
        <f t="shared" si="7"/>
        <v>831.25066666666669</v>
      </c>
      <c r="G14" s="7"/>
      <c r="H14" s="84">
        <f t="shared" si="8"/>
        <v>473.69</v>
      </c>
      <c r="I14" s="84">
        <f t="shared" si="10"/>
        <v>58.064666666666668</v>
      </c>
      <c r="J14" s="157">
        <f t="shared" si="9"/>
        <v>415.62533333333334</v>
      </c>
      <c r="K14" s="142"/>
      <c r="L14" s="146" t="s">
        <v>140</v>
      </c>
      <c r="M14" s="148" t="s">
        <v>57</v>
      </c>
      <c r="N14" s="134">
        <v>7105.35</v>
      </c>
      <c r="O14" s="134">
        <v>0</v>
      </c>
      <c r="P14" s="134">
        <v>870.97</v>
      </c>
      <c r="Q14" s="95"/>
      <c r="R14" s="95"/>
      <c r="S14" s="98"/>
      <c r="T14" s="98"/>
      <c r="U14" s="98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0"/>
      <c r="AG14" s="6"/>
      <c r="AH14" s="6"/>
      <c r="AI14" s="20"/>
    </row>
    <row r="15" spans="1:35" s="3" customFormat="1" ht="27" customHeight="1">
      <c r="A15" s="31">
        <v>9</v>
      </c>
      <c r="B15" s="10" t="str">
        <f t="shared" si="5"/>
        <v xml:space="preserve">LOPEZ LOZA JOSE JAVIER </v>
      </c>
      <c r="C15" s="6" t="str">
        <f t="shared" si="6"/>
        <v xml:space="preserve">AGUA POTABLE </v>
      </c>
      <c r="D15" s="20">
        <f>H15</f>
        <v>299.04000000000002</v>
      </c>
      <c r="E15" s="20">
        <f>I15</f>
        <v>24.922000000000001</v>
      </c>
      <c r="F15" s="20">
        <f t="shared" si="7"/>
        <v>274.11799999999999</v>
      </c>
      <c r="G15" s="7"/>
      <c r="H15" s="84">
        <f t="shared" si="8"/>
        <v>299.04000000000002</v>
      </c>
      <c r="I15" s="84">
        <f t="shared" si="10"/>
        <v>24.922000000000001</v>
      </c>
      <c r="J15" s="157">
        <f t="shared" si="9"/>
        <v>274.11799999999999</v>
      </c>
      <c r="K15" s="134"/>
      <c r="L15" s="134" t="s">
        <v>249</v>
      </c>
      <c r="M15" s="134" t="s">
        <v>116</v>
      </c>
      <c r="N15" s="134">
        <v>4485.6000000000004</v>
      </c>
      <c r="O15" s="134">
        <v>0</v>
      </c>
      <c r="P15" s="134">
        <v>373.83</v>
      </c>
      <c r="Q15" s="95"/>
      <c r="R15" s="95"/>
      <c r="S15" s="98"/>
      <c r="T15" s="98"/>
      <c r="U15" s="98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20"/>
      <c r="AG15" s="6"/>
      <c r="AH15" s="6"/>
      <c r="AI15" s="20"/>
    </row>
    <row r="16" spans="1:35" s="3" customFormat="1" ht="27" customHeight="1">
      <c r="A16" s="31">
        <v>10</v>
      </c>
      <c r="B16" s="10" t="str">
        <f t="shared" si="5"/>
        <v xml:space="preserve">MARTINEZ GONZALEZ HECTOR MIGUEL </v>
      </c>
      <c r="C16" s="6" t="str">
        <f t="shared" si="6"/>
        <v>CHOFER DE CAMION ESCOLAR</v>
      </c>
      <c r="D16" s="20">
        <f>H16*3.024</f>
        <v>1110.2051520000002</v>
      </c>
      <c r="E16" s="20">
        <f>I16*3.024-0.01</f>
        <v>110.20270400000001</v>
      </c>
      <c r="F16" s="20">
        <f t="shared" si="7"/>
        <v>1000.0024480000002</v>
      </c>
      <c r="G16" s="7"/>
      <c r="H16" s="84">
        <f t="shared" si="8"/>
        <v>367.13133333333337</v>
      </c>
      <c r="I16" s="84">
        <f t="shared" si="10"/>
        <v>36.446000000000005</v>
      </c>
      <c r="J16" s="157">
        <f t="shared" si="9"/>
        <v>330.68533333333335</v>
      </c>
      <c r="K16" s="142"/>
      <c r="L16" s="146" t="s">
        <v>141</v>
      </c>
      <c r="M16" s="159" t="s">
        <v>128</v>
      </c>
      <c r="N16" s="141">
        <v>5506.97</v>
      </c>
      <c r="O16" s="141">
        <v>0</v>
      </c>
      <c r="P16" s="141">
        <v>546.69000000000005</v>
      </c>
      <c r="Q16" s="95"/>
      <c r="R16" s="95"/>
      <c r="S16" s="98"/>
      <c r="T16" s="98"/>
      <c r="U16" s="98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20"/>
      <c r="AG16" s="6"/>
      <c r="AH16" s="6"/>
      <c r="AI16" s="20"/>
    </row>
    <row r="17" spans="1:35" s="3" customFormat="1" ht="27" customHeight="1">
      <c r="A17" s="31">
        <v>11</v>
      </c>
      <c r="B17" s="10" t="str">
        <f t="shared" si="5"/>
        <v xml:space="preserve">CARRILLO BENAVIDES ISAAC </v>
      </c>
      <c r="C17" s="6" t="str">
        <f t="shared" si="6"/>
        <v>OPERADOR RETROEXCAVADORA 416</v>
      </c>
      <c r="D17" s="20">
        <f>H17*3.26</f>
        <v>1223.5475466666664</v>
      </c>
      <c r="E17" s="20">
        <f>I17*3.26-0.05</f>
        <v>123.54746666666666</v>
      </c>
      <c r="F17" s="20">
        <f t="shared" si="7"/>
        <v>1100.0000799999998</v>
      </c>
      <c r="G17" s="7"/>
      <c r="H17" s="84">
        <f t="shared" si="8"/>
        <v>375.32133333333331</v>
      </c>
      <c r="I17" s="84">
        <f t="shared" si="10"/>
        <v>37.913333333333334</v>
      </c>
      <c r="J17" s="157">
        <f t="shared" si="9"/>
        <v>337.40799999999996</v>
      </c>
      <c r="K17" s="142"/>
      <c r="L17" s="146" t="s">
        <v>250</v>
      </c>
      <c r="M17" s="148" t="s">
        <v>251</v>
      </c>
      <c r="N17" s="134">
        <v>5629.82</v>
      </c>
      <c r="O17" s="134"/>
      <c r="P17" s="97">
        <v>568.70000000000005</v>
      </c>
      <c r="Q17" s="95"/>
      <c r="R17" s="95"/>
      <c r="S17" s="98"/>
      <c r="T17" s="98"/>
      <c r="U17" s="98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20"/>
      <c r="AG17" s="6"/>
      <c r="AH17" s="6"/>
      <c r="AI17" s="20"/>
    </row>
    <row r="18" spans="1:35" s="3" customFormat="1" ht="27" customHeight="1">
      <c r="A18" s="31">
        <v>12</v>
      </c>
      <c r="B18" s="10" t="str">
        <f t="shared" si="5"/>
        <v xml:space="preserve">ESPINOZA GARZON HEREDERIO </v>
      </c>
      <c r="C18" s="6" t="str">
        <f t="shared" si="6"/>
        <v>OPERADOR MOTOCONFORMADORA 12H</v>
      </c>
      <c r="D18" s="20">
        <f>H18*3</f>
        <v>1208.8679999999999</v>
      </c>
      <c r="E18" s="20">
        <f>I18*3</f>
        <v>128.86799999999999</v>
      </c>
      <c r="F18" s="20">
        <f t="shared" si="7"/>
        <v>1080</v>
      </c>
      <c r="G18" s="7"/>
      <c r="H18" s="84">
        <f t="shared" si="8"/>
        <v>402.95600000000002</v>
      </c>
      <c r="I18" s="84">
        <f t="shared" si="10"/>
        <v>42.956000000000003</v>
      </c>
      <c r="J18" s="157">
        <f t="shared" si="9"/>
        <v>360</v>
      </c>
      <c r="K18" s="142"/>
      <c r="L18" s="146" t="s">
        <v>189</v>
      </c>
      <c r="M18" s="148" t="s">
        <v>190</v>
      </c>
      <c r="N18" s="141">
        <v>6044.34</v>
      </c>
      <c r="O18" s="141"/>
      <c r="P18" s="141">
        <v>644.34</v>
      </c>
      <c r="Q18" s="95"/>
      <c r="R18" s="95"/>
      <c r="S18" s="98"/>
      <c r="T18" s="98"/>
      <c r="U18" s="98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20"/>
      <c r="AG18" s="6"/>
      <c r="AH18" s="6"/>
      <c r="AI18" s="20"/>
    </row>
    <row r="19" spans="1:35" ht="27" customHeight="1">
      <c r="A19" s="31">
        <v>13</v>
      </c>
      <c r="B19" s="10" t="str">
        <f>+L19</f>
        <v xml:space="preserve">PINTO GONNZALEZ L.N MARIA DE LA LUZ  </v>
      </c>
      <c r="C19" s="6" t="str">
        <f>+M19</f>
        <v>JEFE DE DEPARTAMENTO DEL REGISTRO CIVIL</v>
      </c>
      <c r="D19" s="66">
        <f>H19</f>
        <v>364</v>
      </c>
      <c r="E19" s="20">
        <f>I19</f>
        <v>34.64</v>
      </c>
      <c r="F19" s="20">
        <f>D19-E19</f>
        <v>329.36</v>
      </c>
      <c r="G19" s="24" t="s">
        <v>18</v>
      </c>
      <c r="H19" s="84">
        <f>364*1</f>
        <v>364</v>
      </c>
      <c r="I19" s="91">
        <f>34.64*1</f>
        <v>34.64</v>
      </c>
      <c r="J19" s="86">
        <f t="shared" ref="J19" si="11">SUM(H19-I19)</f>
        <v>329.36</v>
      </c>
      <c r="L19" s="134" t="s">
        <v>155</v>
      </c>
      <c r="M19" s="134" t="s">
        <v>26</v>
      </c>
      <c r="N19" s="135">
        <v>8714.74</v>
      </c>
      <c r="O19" s="138">
        <v>1214.74</v>
      </c>
      <c r="P19" s="138">
        <v>0</v>
      </c>
      <c r="R19" s="95"/>
      <c r="S19" s="131"/>
      <c r="AC19" s="20"/>
      <c r="AE19" s="6"/>
      <c r="AF19" s="20"/>
      <c r="AH19" s="6"/>
    </row>
    <row r="20" spans="1:35" s="3" customFormat="1" ht="27" customHeight="1">
      <c r="A20" s="31"/>
      <c r="B20" s="10"/>
      <c r="C20" s="6"/>
      <c r="D20" s="20"/>
      <c r="E20" s="20"/>
      <c r="F20" s="20"/>
      <c r="G20" s="7"/>
      <c r="H20" s="84"/>
      <c r="I20" s="91"/>
      <c r="J20" s="157"/>
      <c r="K20" s="134"/>
      <c r="L20" s="134"/>
      <c r="M20" s="134"/>
      <c r="N20" s="97"/>
      <c r="O20" s="95"/>
      <c r="P20" s="95"/>
      <c r="Q20" s="98"/>
      <c r="R20" s="98"/>
      <c r="S20" s="98"/>
      <c r="T20" s="98"/>
      <c r="U20" s="98"/>
      <c r="V20" s="6"/>
      <c r="W20" s="6"/>
      <c r="X20" s="6"/>
      <c r="Y20" s="6"/>
      <c r="Z20" s="6"/>
      <c r="AA20" s="6"/>
      <c r="AB20" s="6"/>
      <c r="AC20" s="20"/>
      <c r="AD20" s="6"/>
      <c r="AE20" s="6"/>
      <c r="AF20" s="20"/>
    </row>
    <row r="21" spans="1:35" s="3" customFormat="1" ht="27" customHeight="1">
      <c r="A21" s="31"/>
      <c r="B21" s="10"/>
      <c r="C21" s="67" t="s">
        <v>165</v>
      </c>
      <c r="D21" s="63">
        <f>SUM(D7:D20)</f>
        <v>16152.203018666669</v>
      </c>
      <c r="E21" s="63">
        <f t="shared" ref="E21:F21" si="12">SUM(E7:E20)</f>
        <v>1410.8025326666668</v>
      </c>
      <c r="F21" s="63">
        <f t="shared" si="12"/>
        <v>14741.400486</v>
      </c>
      <c r="G21" s="7"/>
      <c r="H21" s="84"/>
      <c r="I21" s="84"/>
      <c r="J21" s="157"/>
      <c r="K21" s="134"/>
      <c r="L21" s="134"/>
      <c r="M21" s="134"/>
      <c r="N21" s="97"/>
      <c r="O21" s="95"/>
      <c r="P21" s="95"/>
      <c r="Q21" s="98"/>
      <c r="R21" s="98"/>
      <c r="S21" s="98"/>
      <c r="T21" s="98"/>
      <c r="U21" s="98"/>
      <c r="V21" s="6"/>
      <c r="W21" s="6"/>
      <c r="X21" s="6"/>
      <c r="Y21" s="6"/>
      <c r="Z21" s="6"/>
      <c r="AA21" s="6"/>
      <c r="AB21" s="6"/>
      <c r="AC21" s="20"/>
      <c r="AD21" s="6"/>
      <c r="AE21" s="6"/>
      <c r="AF21" s="20"/>
    </row>
    <row r="22" spans="1:35" s="3" customFormat="1" ht="27" customHeight="1">
      <c r="A22" s="31"/>
      <c r="B22" s="10" t="s">
        <v>252</v>
      </c>
      <c r="C22" s="6"/>
      <c r="D22" s="20"/>
      <c r="E22" s="20"/>
      <c r="F22" s="20"/>
      <c r="G22" s="7"/>
      <c r="H22" s="84"/>
      <c r="I22" s="84"/>
      <c r="J22" s="157"/>
      <c r="K22" s="134"/>
      <c r="L22" s="134"/>
      <c r="M22" s="134"/>
      <c r="N22" s="134"/>
      <c r="O22" s="95"/>
      <c r="P22" s="95"/>
      <c r="Q22" s="98"/>
      <c r="R22" s="98"/>
      <c r="S22" s="98"/>
      <c r="T22" s="98"/>
      <c r="U22" s="98"/>
      <c r="V22" s="6"/>
      <c r="W22" s="6"/>
      <c r="X22" s="6"/>
      <c r="Y22" s="6"/>
      <c r="Z22" s="6"/>
      <c r="AA22" s="6"/>
      <c r="AB22" s="6"/>
      <c r="AC22" s="20"/>
      <c r="AD22" s="6"/>
      <c r="AE22" s="6"/>
      <c r="AF22" s="20"/>
    </row>
    <row r="23" spans="1:35" s="3" customFormat="1" ht="27" customHeight="1">
      <c r="A23" s="31"/>
      <c r="B23" s="10" t="s">
        <v>246</v>
      </c>
      <c r="C23" s="6"/>
      <c r="D23" s="20"/>
      <c r="E23" s="20"/>
      <c r="F23" s="20"/>
      <c r="G23" s="7"/>
      <c r="H23" s="84"/>
      <c r="I23" s="84"/>
      <c r="J23" s="157"/>
      <c r="K23" s="134"/>
      <c r="L23" s="134"/>
      <c r="M23" s="134"/>
      <c r="N23" s="134"/>
      <c r="O23" s="95"/>
      <c r="P23" s="95"/>
      <c r="Q23" s="98"/>
      <c r="R23" s="98"/>
      <c r="S23" s="98"/>
      <c r="T23" s="98"/>
      <c r="U23" s="98"/>
      <c r="V23" s="6"/>
      <c r="W23" s="6"/>
      <c r="X23" s="6"/>
      <c r="Y23" s="6"/>
      <c r="Z23" s="6"/>
      <c r="AA23" s="6"/>
      <c r="AB23" s="6"/>
      <c r="AC23" s="20"/>
      <c r="AD23" s="6"/>
      <c r="AE23" s="6"/>
      <c r="AF23" s="20"/>
    </row>
    <row r="24" spans="1:35" s="3" customFormat="1" ht="27" customHeight="1">
      <c r="A24" s="31"/>
      <c r="B24" s="10"/>
      <c r="C24" s="6"/>
      <c r="D24" s="20"/>
      <c r="E24" s="20"/>
      <c r="F24" s="20"/>
      <c r="G24" s="7"/>
      <c r="H24" s="84"/>
      <c r="I24" s="84"/>
      <c r="J24" s="157"/>
      <c r="K24" s="134"/>
      <c r="L24" s="134"/>
      <c r="M24" s="134"/>
      <c r="N24" s="134"/>
      <c r="O24" s="95"/>
      <c r="P24" s="95"/>
      <c r="Q24" s="98"/>
      <c r="R24" s="98"/>
      <c r="S24" s="98"/>
      <c r="T24" s="98"/>
      <c r="U24" s="98"/>
      <c r="V24" s="6"/>
      <c r="W24" s="6"/>
      <c r="X24" s="6"/>
      <c r="Y24" s="6"/>
      <c r="Z24" s="6"/>
      <c r="AA24" s="6"/>
      <c r="AB24" s="6"/>
      <c r="AC24" s="20"/>
      <c r="AD24" s="6"/>
      <c r="AE24" s="6"/>
      <c r="AF24" s="20"/>
    </row>
    <row r="25" spans="1:35" s="3" customFormat="1" ht="27" customHeight="1">
      <c r="A25" s="31"/>
      <c r="B25" s="10"/>
      <c r="C25" s="6"/>
      <c r="D25" s="20"/>
      <c r="E25" s="20"/>
      <c r="F25" s="20"/>
      <c r="G25" s="7"/>
      <c r="H25" s="84"/>
      <c r="I25" s="84"/>
      <c r="J25" s="157"/>
      <c r="K25" s="134"/>
      <c r="L25" s="134"/>
      <c r="M25" s="134"/>
      <c r="N25" s="134"/>
      <c r="O25" s="95"/>
      <c r="P25" s="95"/>
      <c r="Q25" s="98"/>
      <c r="R25" s="98"/>
      <c r="S25" s="98"/>
      <c r="T25" s="98"/>
      <c r="U25" s="98"/>
      <c r="V25" s="6"/>
      <c r="W25" s="6"/>
      <c r="X25" s="6"/>
      <c r="Y25" s="6"/>
      <c r="Z25" s="6"/>
      <c r="AA25" s="6"/>
      <c r="AB25" s="6"/>
      <c r="AC25" s="20"/>
      <c r="AD25" s="6"/>
      <c r="AE25" s="6"/>
      <c r="AF25" s="20"/>
    </row>
    <row r="26" spans="1:35" s="3" customFormat="1" ht="27" customHeight="1">
      <c r="A26" s="31"/>
      <c r="B26" s="10"/>
      <c r="C26" s="6"/>
      <c r="D26" s="20"/>
      <c r="E26" s="20"/>
      <c r="F26" s="20"/>
      <c r="G26" s="7"/>
      <c r="H26" s="84"/>
      <c r="I26" s="84"/>
      <c r="J26" s="157"/>
      <c r="K26" s="134"/>
      <c r="L26" s="134"/>
      <c r="M26" s="134"/>
      <c r="N26" s="134"/>
      <c r="O26" s="95"/>
      <c r="P26" s="95"/>
      <c r="Q26" s="98"/>
      <c r="R26" s="98"/>
      <c r="S26" s="98"/>
      <c r="T26" s="98"/>
      <c r="U26" s="98"/>
      <c r="V26" s="6"/>
      <c r="W26" s="6"/>
      <c r="X26" s="6"/>
      <c r="Y26" s="6"/>
      <c r="Z26" s="6"/>
      <c r="AA26" s="6"/>
      <c r="AB26" s="6"/>
      <c r="AC26" s="20"/>
      <c r="AD26" s="6"/>
      <c r="AE26" s="6"/>
      <c r="AF26" s="20"/>
    </row>
    <row r="27" spans="1:35" s="3" customFormat="1" ht="27" customHeight="1">
      <c r="A27" s="31"/>
      <c r="B27" s="10"/>
      <c r="C27" s="6"/>
      <c r="D27" s="20"/>
      <c r="E27" s="20"/>
      <c r="F27" s="20"/>
      <c r="G27" s="7"/>
      <c r="H27" s="84"/>
      <c r="I27" s="84"/>
      <c r="J27" s="157"/>
      <c r="K27" s="134"/>
      <c r="L27" s="134"/>
      <c r="M27" s="134"/>
      <c r="N27" s="134"/>
      <c r="O27" s="95"/>
      <c r="P27" s="95"/>
      <c r="Q27" s="98"/>
      <c r="R27" s="98"/>
      <c r="S27" s="98"/>
      <c r="T27" s="98"/>
      <c r="U27" s="98"/>
      <c r="V27" s="6"/>
      <c r="W27" s="6"/>
      <c r="X27" s="6"/>
      <c r="Y27" s="6"/>
      <c r="Z27" s="6"/>
      <c r="AA27" s="6"/>
      <c r="AB27" s="6"/>
      <c r="AC27" s="20"/>
      <c r="AD27" s="6"/>
      <c r="AE27" s="6"/>
      <c r="AF27" s="20"/>
    </row>
    <row r="28" spans="1:35" s="3" customFormat="1" ht="27" customHeight="1">
      <c r="A28" s="31"/>
      <c r="B28" s="10"/>
      <c r="C28" s="6"/>
      <c r="D28" s="20"/>
      <c r="E28" s="20"/>
      <c r="F28" s="20"/>
      <c r="G28" s="7"/>
      <c r="H28" s="84"/>
      <c r="I28" s="84"/>
      <c r="J28" s="157"/>
      <c r="K28" s="134"/>
      <c r="L28" s="134"/>
      <c r="M28" s="134"/>
      <c r="N28" s="134"/>
      <c r="O28" s="95"/>
      <c r="P28" s="95"/>
      <c r="Q28" s="98"/>
      <c r="R28" s="98"/>
      <c r="S28" s="98"/>
      <c r="T28" s="98"/>
      <c r="U28" s="98"/>
      <c r="V28" s="6"/>
      <c r="W28" s="6"/>
      <c r="X28" s="6"/>
      <c r="Y28" s="6"/>
      <c r="Z28" s="6"/>
      <c r="AA28" s="6"/>
      <c r="AB28" s="6"/>
      <c r="AC28" s="20"/>
      <c r="AD28" s="6"/>
      <c r="AE28" s="6"/>
      <c r="AF28" s="20"/>
    </row>
    <row r="29" spans="1:35" s="3" customFormat="1" ht="27" customHeight="1">
      <c r="A29" s="241" t="s">
        <v>24</v>
      </c>
      <c r="B29" s="242"/>
      <c r="C29" s="242"/>
      <c r="D29" s="242"/>
      <c r="E29" s="242"/>
      <c r="F29" s="242"/>
      <c r="G29" s="243"/>
      <c r="H29" s="84"/>
      <c r="I29" s="84"/>
      <c r="J29" s="157"/>
      <c r="K29" s="134"/>
      <c r="L29" s="134"/>
      <c r="M29" s="134"/>
      <c r="N29" s="134"/>
      <c r="O29" s="95"/>
      <c r="P29" s="95"/>
      <c r="Q29" s="98"/>
      <c r="R29" s="98"/>
      <c r="S29" s="98"/>
      <c r="T29" s="98"/>
      <c r="U29" s="98"/>
      <c r="V29" s="6"/>
      <c r="W29" s="6"/>
      <c r="X29" s="6"/>
      <c r="Y29" s="6"/>
      <c r="Z29" s="6"/>
      <c r="AA29" s="6"/>
      <c r="AB29" s="6"/>
      <c r="AC29" s="20"/>
      <c r="AD29" s="6"/>
      <c r="AE29" s="6"/>
      <c r="AF29" s="20"/>
    </row>
    <row r="30" spans="1:35" s="3" customFormat="1" ht="27" customHeight="1">
      <c r="A30" s="241" t="s">
        <v>244</v>
      </c>
      <c r="B30" s="242"/>
      <c r="C30" s="242"/>
      <c r="D30" s="242"/>
      <c r="E30" s="242"/>
      <c r="F30" s="242"/>
      <c r="G30" s="243"/>
      <c r="H30" s="84"/>
      <c r="I30" s="84"/>
      <c r="J30" s="157"/>
      <c r="K30" s="134"/>
      <c r="L30" s="134"/>
      <c r="M30" s="134"/>
      <c r="N30" s="134"/>
      <c r="O30" s="95"/>
      <c r="P30" s="95"/>
      <c r="Q30" s="98"/>
      <c r="R30" s="98"/>
      <c r="S30" s="98"/>
      <c r="T30" s="98"/>
      <c r="U30" s="98"/>
      <c r="V30" s="6"/>
      <c r="W30" s="6"/>
      <c r="X30" s="6"/>
      <c r="Y30" s="6"/>
      <c r="Z30" s="6"/>
      <c r="AA30" s="6"/>
      <c r="AB30" s="6"/>
      <c r="AC30" s="20"/>
      <c r="AD30" s="6"/>
      <c r="AE30" s="6"/>
      <c r="AF30" s="20"/>
    </row>
    <row r="31" spans="1:35" s="3" customFormat="1" ht="27" customHeight="1">
      <c r="A31" s="241" t="str">
        <f>+A3</f>
        <v xml:space="preserve">AYUNTAMIENTO Y QUE  CORRESPONDEN A LA 2DA QUINCENA DE JULIO DE 2019 </v>
      </c>
      <c r="B31" s="242"/>
      <c r="C31" s="242"/>
      <c r="D31" s="242"/>
      <c r="E31" s="242"/>
      <c r="F31" s="242"/>
      <c r="G31" s="243"/>
      <c r="H31" s="84"/>
      <c r="I31" s="84"/>
      <c r="J31" s="157"/>
      <c r="K31" s="134"/>
      <c r="L31" s="134"/>
      <c r="M31" s="134"/>
      <c r="N31" s="134"/>
      <c r="O31" s="95"/>
      <c r="P31" s="95"/>
      <c r="Q31" s="98"/>
      <c r="R31" s="98"/>
      <c r="S31" s="98"/>
      <c r="T31" s="98"/>
      <c r="U31" s="98"/>
      <c r="V31" s="6"/>
      <c r="W31" s="6"/>
      <c r="X31" s="6"/>
      <c r="Y31" s="6"/>
      <c r="Z31" s="6"/>
      <c r="AA31" s="6"/>
      <c r="AB31" s="6"/>
      <c r="AC31" s="20"/>
      <c r="AD31" s="6"/>
      <c r="AE31" s="6"/>
      <c r="AF31" s="20"/>
    </row>
    <row r="32" spans="1:35" s="3" customFormat="1" ht="27" customHeight="1">
      <c r="A32" s="241" t="s">
        <v>27</v>
      </c>
      <c r="B32" s="242"/>
      <c r="C32" s="242"/>
      <c r="D32" s="242"/>
      <c r="E32" s="242"/>
      <c r="F32" s="242"/>
      <c r="G32" s="243"/>
      <c r="H32" s="84"/>
      <c r="I32" s="84"/>
      <c r="J32" s="157"/>
      <c r="K32" s="134"/>
      <c r="L32" s="134"/>
      <c r="M32" s="134"/>
      <c r="N32" s="134"/>
      <c r="O32" s="95"/>
      <c r="P32" s="95"/>
      <c r="Q32" s="98"/>
      <c r="R32" s="98"/>
      <c r="S32" s="98"/>
      <c r="T32" s="98"/>
      <c r="U32" s="98"/>
      <c r="V32" s="6"/>
      <c r="W32" s="6"/>
      <c r="X32" s="6"/>
      <c r="Y32" s="6"/>
      <c r="Z32" s="6"/>
      <c r="AA32" s="6"/>
      <c r="AB32" s="6"/>
      <c r="AC32" s="20"/>
      <c r="AD32" s="6"/>
      <c r="AE32" s="6"/>
      <c r="AF32" s="20"/>
    </row>
    <row r="33" spans="1:33" s="3" customFormat="1" ht="27" customHeight="1">
      <c r="A33" s="31"/>
      <c r="B33" s="10"/>
      <c r="C33" s="8"/>
      <c r="D33" s="20"/>
      <c r="E33" s="20"/>
      <c r="F33" s="20"/>
      <c r="G33" s="7"/>
      <c r="H33" s="84"/>
      <c r="I33" s="84"/>
      <c r="J33" s="157"/>
      <c r="K33" s="134"/>
      <c r="L33" s="134"/>
      <c r="M33" s="134"/>
      <c r="N33" s="134"/>
      <c r="O33" s="95"/>
      <c r="P33" s="95"/>
      <c r="Q33" s="98"/>
      <c r="R33" s="98"/>
      <c r="S33" s="98"/>
      <c r="T33" s="98"/>
      <c r="U33" s="98"/>
      <c r="V33" s="6"/>
      <c r="W33" s="6"/>
      <c r="X33" s="6"/>
      <c r="Y33" s="6"/>
      <c r="Z33" s="6"/>
      <c r="AA33" s="6"/>
      <c r="AB33" s="6"/>
      <c r="AC33" s="20"/>
      <c r="AD33" s="6"/>
      <c r="AE33" s="6"/>
      <c r="AF33" s="20"/>
    </row>
    <row r="34" spans="1:33" s="3" customFormat="1" ht="27" customHeight="1">
      <c r="A34" s="31">
        <v>1</v>
      </c>
      <c r="B34" s="10"/>
      <c r="C34" s="8" t="str">
        <f>+M34</f>
        <v>POLICIA DE LINEA</v>
      </c>
      <c r="D34" s="20">
        <f t="shared" ref="D34:E42" si="13">H34</f>
        <v>391.47533333333337</v>
      </c>
      <c r="E34" s="20">
        <f t="shared" si="13"/>
        <v>40.808666666666667</v>
      </c>
      <c r="F34" s="20">
        <f t="shared" ref="F34:F43" si="14">D34-E34</f>
        <v>350.66666666666669</v>
      </c>
      <c r="G34" s="7"/>
      <c r="H34" s="84">
        <f t="shared" ref="H34:I43" si="15">+N34/15</f>
        <v>391.47533333333337</v>
      </c>
      <c r="I34" s="84">
        <f>+O34/15</f>
        <v>40.808666666666667</v>
      </c>
      <c r="J34" s="86">
        <f>+H34-I34</f>
        <v>350.66666666666669</v>
      </c>
      <c r="K34" s="134"/>
      <c r="L34" s="134" t="s">
        <v>213</v>
      </c>
      <c r="M34" s="134" t="s">
        <v>90</v>
      </c>
      <c r="N34" s="134">
        <v>5872.13</v>
      </c>
      <c r="O34" s="95">
        <v>612.13</v>
      </c>
      <c r="P34" s="98"/>
      <c r="Q34" s="98"/>
      <c r="R34" s="98"/>
      <c r="S34" s="98"/>
      <c r="T34" s="98"/>
      <c r="U34" s="98"/>
      <c r="V34" s="6"/>
      <c r="W34" s="6"/>
      <c r="X34" s="6"/>
      <c r="Y34" s="6"/>
      <c r="Z34" s="6"/>
      <c r="AA34" s="6"/>
      <c r="AB34" s="20"/>
      <c r="AC34" s="6"/>
      <c r="AD34" s="6"/>
      <c r="AE34" s="20"/>
    </row>
    <row r="35" spans="1:33" s="3" customFormat="1" ht="27" customHeight="1">
      <c r="A35" s="31">
        <v>2</v>
      </c>
      <c r="B35" s="10"/>
      <c r="C35" s="8" t="str">
        <f t="shared" ref="B35:C43" si="16">+M35</f>
        <v>POLICIA DE LINEA</v>
      </c>
      <c r="D35" s="20">
        <f t="shared" si="13"/>
        <v>391.47533333333337</v>
      </c>
      <c r="E35" s="20">
        <f t="shared" si="13"/>
        <v>40.808666666666667</v>
      </c>
      <c r="F35" s="20">
        <f t="shared" si="14"/>
        <v>350.66666666666669</v>
      </c>
      <c r="G35" s="7"/>
      <c r="H35" s="84">
        <f t="shared" si="15"/>
        <v>391.47533333333337</v>
      </c>
      <c r="I35" s="84">
        <f t="shared" si="15"/>
        <v>40.808666666666667</v>
      </c>
      <c r="J35" s="86">
        <f t="shared" ref="J35:J43" si="17">+H35-I35</f>
        <v>350.66666666666669</v>
      </c>
      <c r="K35" s="142"/>
      <c r="L35" s="98" t="s">
        <v>242</v>
      </c>
      <c r="M35" s="134" t="s">
        <v>90</v>
      </c>
      <c r="N35" s="134">
        <v>5872.13</v>
      </c>
      <c r="O35" s="95">
        <v>612.13</v>
      </c>
      <c r="P35" s="98"/>
      <c r="Q35" s="98"/>
      <c r="R35" s="98"/>
      <c r="S35" s="98"/>
      <c r="T35" s="98"/>
      <c r="U35" s="98"/>
      <c r="V35" s="6"/>
      <c r="W35" s="6"/>
      <c r="X35" s="6"/>
      <c r="Y35" s="6"/>
      <c r="Z35" s="6"/>
      <c r="AA35" s="6"/>
      <c r="AB35" s="20"/>
      <c r="AC35" s="6"/>
      <c r="AD35" s="6"/>
      <c r="AE35" s="20"/>
    </row>
    <row r="36" spans="1:33" s="3" customFormat="1" ht="27" customHeight="1">
      <c r="A36" s="31">
        <v>3</v>
      </c>
      <c r="B36" s="10"/>
      <c r="C36" s="8" t="str">
        <f t="shared" si="16"/>
        <v>POLICIA DE LINEA</v>
      </c>
      <c r="D36" s="20">
        <f t="shared" si="13"/>
        <v>391.47533333333337</v>
      </c>
      <c r="E36" s="20">
        <f t="shared" si="13"/>
        <v>40.808666666666667</v>
      </c>
      <c r="F36" s="20">
        <f t="shared" si="14"/>
        <v>350.66666666666669</v>
      </c>
      <c r="G36" s="24"/>
      <c r="H36" s="84">
        <f t="shared" si="15"/>
        <v>391.47533333333337</v>
      </c>
      <c r="I36" s="84">
        <f t="shared" si="15"/>
        <v>40.808666666666667</v>
      </c>
      <c r="J36" s="86">
        <f t="shared" si="17"/>
        <v>350.66666666666669</v>
      </c>
      <c r="K36" s="134"/>
      <c r="L36" s="134" t="s">
        <v>164</v>
      </c>
      <c r="M36" s="134" t="s">
        <v>90</v>
      </c>
      <c r="N36" s="97">
        <v>5872.13</v>
      </c>
      <c r="O36" s="95">
        <v>612.13</v>
      </c>
      <c r="P36" s="98"/>
      <c r="Q36" s="98"/>
      <c r="R36" s="98"/>
      <c r="S36" s="98"/>
      <c r="T36" s="98"/>
      <c r="U36" s="98"/>
      <c r="V36" s="6"/>
      <c r="W36" s="6"/>
      <c r="X36" s="6"/>
      <c r="Y36" s="6"/>
      <c r="Z36" s="6"/>
      <c r="AA36" s="6"/>
      <c r="AB36" s="20"/>
      <c r="AC36" s="6"/>
      <c r="AD36" s="6"/>
      <c r="AE36" s="20"/>
    </row>
    <row r="37" spans="1:33" s="3" customFormat="1" ht="27" customHeight="1">
      <c r="A37" s="31">
        <v>4</v>
      </c>
      <c r="B37" s="10"/>
      <c r="C37" s="8" t="str">
        <f t="shared" si="16"/>
        <v>POLICIA DE LINEA</v>
      </c>
      <c r="D37" s="20">
        <f t="shared" si="13"/>
        <v>391.47533333333337</v>
      </c>
      <c r="E37" s="20">
        <f t="shared" si="13"/>
        <v>40.808666666666667</v>
      </c>
      <c r="F37" s="20">
        <f t="shared" si="14"/>
        <v>350.66666666666669</v>
      </c>
      <c r="G37" s="24"/>
      <c r="H37" s="84">
        <f t="shared" si="15"/>
        <v>391.47533333333337</v>
      </c>
      <c r="I37" s="84">
        <f t="shared" si="15"/>
        <v>40.808666666666667</v>
      </c>
      <c r="J37" s="86">
        <f t="shared" si="17"/>
        <v>350.66666666666669</v>
      </c>
      <c r="K37" s="134"/>
      <c r="L37" s="134" t="s">
        <v>207</v>
      </c>
      <c r="M37" s="134" t="s">
        <v>90</v>
      </c>
      <c r="N37" s="97">
        <v>5872.13</v>
      </c>
      <c r="O37" s="95">
        <v>612.13</v>
      </c>
      <c r="P37" s="98"/>
      <c r="Q37" s="98"/>
      <c r="R37" s="98"/>
      <c r="S37" s="98"/>
      <c r="T37" s="98"/>
      <c r="U37" s="98"/>
      <c r="V37" s="6"/>
      <c r="W37" s="6"/>
      <c r="X37" s="6"/>
      <c r="Y37" s="6"/>
      <c r="Z37" s="6"/>
      <c r="AA37" s="6"/>
      <c r="AB37" s="20"/>
      <c r="AC37" s="6"/>
      <c r="AD37" s="6"/>
      <c r="AE37" s="20"/>
    </row>
    <row r="38" spans="1:33" s="3" customFormat="1" ht="27" customHeight="1">
      <c r="A38" s="31">
        <v>5</v>
      </c>
      <c r="B38" s="10"/>
      <c r="C38" s="6" t="str">
        <f t="shared" si="16"/>
        <v>POLICIA DE LINEA</v>
      </c>
      <c r="D38" s="20">
        <f t="shared" si="13"/>
        <v>391.47533333333337</v>
      </c>
      <c r="E38" s="20">
        <f t="shared" si="13"/>
        <v>40.808666666666667</v>
      </c>
      <c r="F38" s="20">
        <f t="shared" si="14"/>
        <v>350.66666666666669</v>
      </c>
      <c r="G38" s="24"/>
      <c r="H38" s="84">
        <f t="shared" si="15"/>
        <v>391.47533333333337</v>
      </c>
      <c r="I38" s="84">
        <f t="shared" si="15"/>
        <v>40.808666666666667</v>
      </c>
      <c r="J38" s="86">
        <f t="shared" si="17"/>
        <v>350.66666666666669</v>
      </c>
      <c r="K38" s="134"/>
      <c r="L38" s="134" t="s">
        <v>162</v>
      </c>
      <c r="M38" s="134" t="s">
        <v>90</v>
      </c>
      <c r="N38" s="134">
        <v>5872.13</v>
      </c>
      <c r="O38" s="95">
        <v>612.13</v>
      </c>
      <c r="P38" s="95"/>
      <c r="Q38" s="98"/>
      <c r="R38" s="98"/>
      <c r="S38" s="98"/>
      <c r="T38" s="98"/>
      <c r="U38" s="98"/>
      <c r="V38" s="6"/>
      <c r="W38" s="6"/>
      <c r="X38" s="6"/>
      <c r="Y38" s="6"/>
      <c r="Z38" s="6"/>
      <c r="AA38" s="6"/>
      <c r="AB38" s="6"/>
      <c r="AC38" s="20"/>
      <c r="AD38" s="6"/>
      <c r="AE38" s="6"/>
      <c r="AF38" s="20"/>
    </row>
    <row r="39" spans="1:33" s="3" customFormat="1" ht="27" customHeight="1">
      <c r="A39" s="31">
        <v>6</v>
      </c>
      <c r="B39" s="10"/>
      <c r="C39" s="6" t="str">
        <f t="shared" si="16"/>
        <v>POLICIA DE LINEA</v>
      </c>
      <c r="D39" s="20">
        <f t="shared" si="13"/>
        <v>391.47533333333337</v>
      </c>
      <c r="E39" s="20">
        <f t="shared" si="13"/>
        <v>40.808666666666667</v>
      </c>
      <c r="F39" s="20">
        <f t="shared" si="14"/>
        <v>350.66666666666669</v>
      </c>
      <c r="G39" s="24"/>
      <c r="H39" s="84">
        <f t="shared" si="15"/>
        <v>391.47533333333337</v>
      </c>
      <c r="I39" s="84">
        <f t="shared" si="15"/>
        <v>40.808666666666667</v>
      </c>
      <c r="J39" s="86">
        <f t="shared" si="17"/>
        <v>350.66666666666669</v>
      </c>
      <c r="K39" s="134"/>
      <c r="L39" s="134" t="s">
        <v>162</v>
      </c>
      <c r="M39" s="134" t="s">
        <v>90</v>
      </c>
      <c r="N39" s="134">
        <v>5872.13</v>
      </c>
      <c r="O39" s="95">
        <v>612.13</v>
      </c>
      <c r="P39" s="95"/>
      <c r="Q39" s="98"/>
      <c r="R39" s="98"/>
      <c r="S39" s="98"/>
      <c r="T39" s="98"/>
      <c r="U39" s="98"/>
      <c r="V39" s="6"/>
      <c r="W39" s="6"/>
      <c r="X39" s="6"/>
      <c r="Y39" s="6"/>
      <c r="Z39" s="6"/>
      <c r="AA39" s="6"/>
      <c r="AB39" s="6"/>
      <c r="AC39" s="20"/>
      <c r="AD39" s="6"/>
      <c r="AE39" s="6"/>
      <c r="AF39" s="20"/>
    </row>
    <row r="40" spans="1:33" s="3" customFormat="1" ht="27" customHeight="1">
      <c r="A40" s="31">
        <v>7</v>
      </c>
      <c r="B40" s="10" t="str">
        <f t="shared" si="16"/>
        <v xml:space="preserve">CAMACHO FLORES MARIO </v>
      </c>
      <c r="C40" s="8" t="str">
        <f t="shared" si="16"/>
        <v>COMANDANTE</v>
      </c>
      <c r="D40" s="20">
        <f t="shared" si="13"/>
        <v>432.6273333333333</v>
      </c>
      <c r="E40" s="20">
        <f t="shared" si="13"/>
        <v>49.293999999999997</v>
      </c>
      <c r="F40" s="20">
        <f t="shared" si="14"/>
        <v>383.33333333333331</v>
      </c>
      <c r="G40" s="7"/>
      <c r="H40" s="84">
        <f t="shared" si="15"/>
        <v>432.6273333333333</v>
      </c>
      <c r="I40" s="84">
        <f t="shared" si="15"/>
        <v>49.293999999999997</v>
      </c>
      <c r="J40" s="86">
        <f t="shared" si="17"/>
        <v>383.33333333333331</v>
      </c>
      <c r="K40" s="134"/>
      <c r="L40" s="134" t="s">
        <v>217</v>
      </c>
      <c r="M40" s="134" t="s">
        <v>208</v>
      </c>
      <c r="N40" s="134">
        <v>6489.41</v>
      </c>
      <c r="O40" s="95">
        <v>739.41</v>
      </c>
      <c r="P40" s="98"/>
      <c r="Q40" s="98"/>
      <c r="R40" s="98"/>
      <c r="S40" s="98"/>
      <c r="T40" s="98"/>
      <c r="U40" s="98"/>
      <c r="V40" s="6"/>
      <c r="W40" s="6"/>
      <c r="X40" s="6"/>
      <c r="Y40" s="6"/>
      <c r="Z40" s="6"/>
      <c r="AA40" s="6"/>
      <c r="AB40" s="20"/>
      <c r="AC40" s="6"/>
      <c r="AD40" s="6"/>
      <c r="AE40" s="20"/>
    </row>
    <row r="41" spans="1:33" s="3" customFormat="1" ht="27" customHeight="1">
      <c r="A41" s="31">
        <v>8</v>
      </c>
      <c r="B41" s="10"/>
      <c r="C41" s="8" t="str">
        <f t="shared" si="16"/>
        <v>POLICIA DE LINEA</v>
      </c>
      <c r="D41" s="20">
        <f t="shared" si="13"/>
        <v>391.47533333333337</v>
      </c>
      <c r="E41" s="20">
        <f t="shared" si="13"/>
        <v>40.808666666666667</v>
      </c>
      <c r="F41" s="20">
        <f t="shared" si="14"/>
        <v>350.66666666666669</v>
      </c>
      <c r="G41" s="24"/>
      <c r="H41" s="84">
        <f t="shared" si="15"/>
        <v>391.47533333333337</v>
      </c>
      <c r="I41" s="84">
        <f t="shared" si="15"/>
        <v>40.808666666666667</v>
      </c>
      <c r="J41" s="86">
        <f t="shared" si="17"/>
        <v>350.66666666666669</v>
      </c>
      <c r="K41" s="134"/>
      <c r="L41" s="134" t="s">
        <v>215</v>
      </c>
      <c r="M41" s="134" t="s">
        <v>90</v>
      </c>
      <c r="N41" s="134">
        <v>5872.13</v>
      </c>
      <c r="O41" s="95">
        <v>612.13</v>
      </c>
      <c r="P41" s="98"/>
      <c r="Q41" s="98"/>
      <c r="R41" s="98"/>
      <c r="S41" s="98"/>
      <c r="T41" s="98"/>
      <c r="U41" s="98"/>
      <c r="V41" s="6"/>
      <c r="W41" s="6"/>
      <c r="X41" s="6"/>
      <c r="Y41" s="6"/>
      <c r="Z41" s="6"/>
      <c r="AA41" s="6"/>
      <c r="AB41" s="20"/>
      <c r="AC41" s="6"/>
      <c r="AD41" s="6"/>
      <c r="AE41" s="20"/>
    </row>
    <row r="42" spans="1:33" s="3" customFormat="1" ht="27" customHeight="1">
      <c r="A42" s="31">
        <v>9</v>
      </c>
      <c r="B42" s="10"/>
      <c r="C42" s="8" t="str">
        <f t="shared" si="16"/>
        <v>POLICIA DE LINEA</v>
      </c>
      <c r="D42" s="20">
        <f t="shared" si="13"/>
        <v>391.47533333333337</v>
      </c>
      <c r="E42" s="20">
        <f t="shared" si="13"/>
        <v>40.808666666666667</v>
      </c>
      <c r="F42" s="20">
        <f t="shared" si="14"/>
        <v>350.66666666666669</v>
      </c>
      <c r="G42" s="7"/>
      <c r="H42" s="84">
        <f t="shared" si="15"/>
        <v>391.47533333333337</v>
      </c>
      <c r="I42" s="84">
        <f t="shared" si="15"/>
        <v>40.808666666666667</v>
      </c>
      <c r="J42" s="86">
        <f t="shared" si="17"/>
        <v>350.66666666666669</v>
      </c>
      <c r="K42" s="134"/>
      <c r="L42" s="134" t="s">
        <v>205</v>
      </c>
      <c r="M42" s="134" t="s">
        <v>90</v>
      </c>
      <c r="N42" s="134">
        <v>5872.13</v>
      </c>
      <c r="O42" s="95">
        <v>612.13</v>
      </c>
      <c r="P42" s="98"/>
      <c r="Q42" s="98"/>
      <c r="R42" s="98"/>
      <c r="S42" s="98"/>
      <c r="T42" s="98"/>
      <c r="U42" s="98"/>
      <c r="V42" s="6"/>
      <c r="W42" s="6"/>
      <c r="X42" s="6"/>
      <c r="Y42" s="6"/>
      <c r="Z42" s="6"/>
      <c r="AA42" s="6"/>
      <c r="AB42" s="20"/>
      <c r="AC42" s="6"/>
      <c r="AD42" s="6"/>
      <c r="AE42" s="20"/>
    </row>
    <row r="43" spans="1:33" s="3" customFormat="1" ht="27" customHeight="1">
      <c r="A43" s="31">
        <v>10</v>
      </c>
      <c r="B43" s="10"/>
      <c r="C43" s="8" t="str">
        <f t="shared" si="16"/>
        <v>POLICIA DE LINEA</v>
      </c>
      <c r="D43" s="20">
        <f>H43</f>
        <v>391.47533333333337</v>
      </c>
      <c r="E43" s="20">
        <f>I43</f>
        <v>40.808666666666667</v>
      </c>
      <c r="F43" s="20">
        <f t="shared" si="14"/>
        <v>350.66666666666669</v>
      </c>
      <c r="G43" s="7"/>
      <c r="H43" s="84">
        <f t="shared" si="15"/>
        <v>391.47533333333337</v>
      </c>
      <c r="I43" s="84">
        <f t="shared" si="15"/>
        <v>40.808666666666667</v>
      </c>
      <c r="J43" s="86">
        <f t="shared" si="17"/>
        <v>350.66666666666669</v>
      </c>
      <c r="K43" s="142"/>
      <c r="L43" s="146" t="s">
        <v>159</v>
      </c>
      <c r="M43" s="134" t="s">
        <v>90</v>
      </c>
      <c r="N43" s="97">
        <v>5872.13</v>
      </c>
      <c r="O43" s="95">
        <v>612.13</v>
      </c>
      <c r="P43" s="98"/>
      <c r="Q43" s="98"/>
      <c r="R43" s="98"/>
      <c r="S43" s="98"/>
      <c r="T43" s="98"/>
      <c r="U43" s="98"/>
      <c r="V43" s="6"/>
      <c r="W43" s="6"/>
      <c r="X43" s="6"/>
      <c r="Y43" s="6"/>
      <c r="Z43" s="6"/>
      <c r="AA43" s="6"/>
      <c r="AB43" s="20"/>
      <c r="AC43" s="6"/>
      <c r="AD43" s="6"/>
      <c r="AE43" s="20"/>
    </row>
    <row r="44" spans="1:33" s="3" customFormat="1" ht="27" customHeight="1">
      <c r="A44" s="31"/>
      <c r="B44" s="10"/>
      <c r="C44" s="8"/>
      <c r="D44" s="20"/>
      <c r="E44" s="20"/>
      <c r="F44" s="20"/>
      <c r="G44" s="7"/>
      <c r="H44" s="84"/>
      <c r="I44" s="84"/>
      <c r="J44" s="157"/>
      <c r="K44" s="134"/>
      <c r="L44" s="134"/>
      <c r="M44" s="134"/>
      <c r="N44" s="97"/>
      <c r="O44" s="95"/>
      <c r="P44" s="95"/>
      <c r="Q44" s="98"/>
      <c r="R44" s="98"/>
      <c r="S44" s="98"/>
      <c r="T44" s="98"/>
      <c r="U44" s="98"/>
      <c r="V44" s="6"/>
      <c r="W44" s="6"/>
      <c r="X44" s="6"/>
      <c r="Y44" s="6"/>
      <c r="Z44" s="6"/>
      <c r="AA44" s="6"/>
      <c r="AB44" s="6"/>
      <c r="AC44" s="20"/>
      <c r="AD44" s="6"/>
      <c r="AE44" s="6"/>
      <c r="AF44" s="20"/>
    </row>
    <row r="45" spans="1:33" s="3" customFormat="1" ht="27" customHeight="1">
      <c r="A45" s="31"/>
      <c r="B45" s="10"/>
      <c r="C45" s="67" t="s">
        <v>165</v>
      </c>
      <c r="D45" s="63">
        <f>SUM(D33:D44)</f>
        <v>3955.9053333333336</v>
      </c>
      <c r="E45" s="63">
        <f>SUM(E33:E44)</f>
        <v>416.57200000000006</v>
      </c>
      <c r="F45" s="63">
        <f>SUM(F33:F44)</f>
        <v>3539.333333333333</v>
      </c>
      <c r="G45" s="7"/>
      <c r="H45" s="84"/>
      <c r="I45" s="84"/>
      <c r="J45" s="157"/>
      <c r="K45" s="134"/>
      <c r="L45" s="134"/>
      <c r="M45" s="134"/>
      <c r="N45" s="97"/>
      <c r="O45" s="95"/>
      <c r="P45" s="95"/>
      <c r="Q45" s="98"/>
      <c r="R45" s="98"/>
      <c r="S45" s="98"/>
      <c r="T45" s="98"/>
      <c r="U45" s="98"/>
      <c r="V45" s="6"/>
      <c r="W45" s="6"/>
      <c r="X45" s="6"/>
      <c r="Y45" s="6"/>
      <c r="Z45" s="6"/>
      <c r="AA45" s="6"/>
      <c r="AB45" s="6"/>
      <c r="AC45" s="20"/>
      <c r="AD45" s="6"/>
      <c r="AE45" s="6"/>
      <c r="AF45" s="20"/>
    </row>
    <row r="46" spans="1:33" s="3" customFormat="1" ht="27" customHeight="1">
      <c r="A46" s="31"/>
      <c r="B46" s="10"/>
      <c r="C46" s="6"/>
      <c r="D46" s="20"/>
      <c r="E46" s="20"/>
      <c r="F46" s="20"/>
      <c r="G46" s="7"/>
      <c r="H46" s="84"/>
      <c r="I46" s="84"/>
      <c r="J46" s="157"/>
      <c r="K46" s="134"/>
      <c r="L46" s="134"/>
      <c r="M46" s="134"/>
      <c r="N46" s="97"/>
      <c r="O46" s="95"/>
      <c r="P46" s="95"/>
      <c r="Q46" s="98"/>
      <c r="R46" s="98"/>
      <c r="S46" s="98"/>
      <c r="T46" s="98"/>
      <c r="U46" s="98"/>
      <c r="V46" s="6"/>
      <c r="W46" s="6"/>
      <c r="X46" s="6"/>
      <c r="Y46" s="6"/>
      <c r="Z46" s="6"/>
      <c r="AA46" s="6"/>
      <c r="AB46" s="6"/>
      <c r="AC46" s="20"/>
      <c r="AD46" s="6"/>
      <c r="AE46" s="6"/>
      <c r="AF46" s="20"/>
    </row>
    <row r="47" spans="1:33" s="3" customFormat="1" ht="27" customHeight="1">
      <c r="A47" s="31"/>
      <c r="B47" s="10" t="s">
        <v>243</v>
      </c>
      <c r="C47" s="6"/>
      <c r="D47" s="20"/>
      <c r="E47" s="20"/>
      <c r="F47" s="20"/>
      <c r="G47" s="7"/>
      <c r="H47" s="84"/>
      <c r="I47" s="84"/>
      <c r="J47" s="157"/>
      <c r="K47" s="134"/>
      <c r="L47" s="134"/>
      <c r="M47" s="134"/>
      <c r="N47" s="134"/>
      <c r="O47" s="95"/>
      <c r="P47" s="97"/>
      <c r="Q47" s="98"/>
      <c r="R47" s="98"/>
      <c r="S47" s="98"/>
      <c r="T47" s="98"/>
      <c r="U47" s="98"/>
      <c r="V47" s="6"/>
      <c r="W47" s="6"/>
      <c r="X47" s="6"/>
      <c r="Y47" s="6"/>
      <c r="Z47" s="6"/>
      <c r="AA47" s="6"/>
      <c r="AB47" s="6"/>
      <c r="AC47" s="6"/>
      <c r="AD47" s="20"/>
      <c r="AE47" s="6"/>
      <c r="AF47" s="6"/>
      <c r="AG47" s="20"/>
    </row>
    <row r="48" spans="1:33" s="3" customFormat="1" ht="27" customHeight="1">
      <c r="A48" s="31"/>
      <c r="B48" s="10" t="str">
        <f>+B23</f>
        <v>IXTLAHUACAN DEL RIO JALISCO A 31 DE JULIO DE 2019</v>
      </c>
      <c r="C48" s="6"/>
      <c r="D48" s="20"/>
      <c r="E48" s="20"/>
      <c r="F48" s="20"/>
      <c r="G48" s="7"/>
      <c r="H48" s="84"/>
      <c r="I48" s="84"/>
      <c r="J48" s="157"/>
      <c r="K48" s="134"/>
      <c r="L48" s="134"/>
      <c r="M48" s="134"/>
      <c r="N48" s="134"/>
      <c r="O48" s="95"/>
      <c r="P48" s="97"/>
      <c r="Q48" s="98"/>
      <c r="R48" s="98"/>
      <c r="S48" s="98"/>
      <c r="T48" s="98"/>
      <c r="U48" s="98"/>
      <c r="V48" s="6"/>
      <c r="W48" s="6"/>
      <c r="X48" s="6"/>
      <c r="Y48" s="6"/>
      <c r="Z48" s="6"/>
      <c r="AA48" s="6"/>
      <c r="AB48" s="6"/>
      <c r="AC48" s="6"/>
      <c r="AD48" s="20"/>
      <c r="AE48" s="6"/>
      <c r="AF48" s="6"/>
      <c r="AG48" s="20"/>
    </row>
    <row r="49" spans="1:34" s="3" customFormat="1" ht="27" customHeight="1">
      <c r="A49" s="31"/>
      <c r="B49" s="10"/>
      <c r="C49" s="6"/>
      <c r="D49" s="20"/>
      <c r="E49" s="20"/>
      <c r="F49" s="20"/>
      <c r="G49" s="7"/>
      <c r="H49" s="84"/>
      <c r="I49" s="84"/>
      <c r="J49" s="157"/>
      <c r="K49" s="134"/>
      <c r="L49" s="134"/>
      <c r="M49" s="134"/>
      <c r="N49" s="134"/>
      <c r="O49" s="95"/>
      <c r="P49" s="97"/>
      <c r="Q49" s="98"/>
      <c r="R49" s="98"/>
      <c r="S49" s="98"/>
      <c r="T49" s="98"/>
      <c r="U49" s="98"/>
      <c r="V49" s="6"/>
      <c r="W49" s="6"/>
      <c r="X49" s="6"/>
      <c r="Y49" s="6"/>
      <c r="Z49" s="6"/>
      <c r="AA49" s="6"/>
      <c r="AB49" s="6"/>
      <c r="AC49" s="6"/>
      <c r="AD49" s="20"/>
      <c r="AE49" s="6"/>
      <c r="AF49" s="6"/>
      <c r="AG49" s="20"/>
    </row>
    <row r="50" spans="1:34" s="3" customFormat="1" ht="27" customHeight="1">
      <c r="A50" s="31"/>
      <c r="B50" s="10"/>
      <c r="C50" s="6"/>
      <c r="D50" s="20"/>
      <c r="E50" s="20"/>
      <c r="F50" s="20"/>
      <c r="G50" s="7"/>
      <c r="H50" s="84"/>
      <c r="I50" s="84"/>
      <c r="J50" s="157"/>
      <c r="K50" s="134"/>
      <c r="L50" s="134"/>
      <c r="M50" s="134"/>
      <c r="N50" s="134"/>
      <c r="O50" s="95"/>
      <c r="P50" s="97"/>
      <c r="Q50" s="98"/>
      <c r="R50" s="98"/>
      <c r="S50" s="98"/>
      <c r="T50" s="98"/>
      <c r="U50" s="98"/>
      <c r="V50" s="6"/>
      <c r="W50" s="6"/>
      <c r="X50" s="6"/>
      <c r="Y50" s="6"/>
      <c r="Z50" s="6"/>
      <c r="AA50" s="6"/>
      <c r="AB50" s="6"/>
      <c r="AC50" s="6"/>
      <c r="AD50" s="20"/>
      <c r="AE50" s="6"/>
      <c r="AF50" s="6"/>
      <c r="AG50" s="20"/>
    </row>
    <row r="51" spans="1:34" s="3" customFormat="1" ht="27" customHeight="1">
      <c r="A51" s="31"/>
      <c r="B51" s="10"/>
      <c r="C51" s="6"/>
      <c r="D51" s="20"/>
      <c r="E51" s="20"/>
      <c r="F51" s="20"/>
      <c r="G51" s="7"/>
      <c r="H51" s="84"/>
      <c r="I51" s="84"/>
      <c r="J51" s="157"/>
      <c r="K51" s="134"/>
      <c r="L51" s="134"/>
      <c r="M51" s="134"/>
      <c r="N51" s="134"/>
      <c r="O51" s="97"/>
      <c r="P51" s="134"/>
      <c r="Q51" s="95"/>
      <c r="R51" s="98"/>
      <c r="S51" s="98"/>
      <c r="T51" s="98"/>
      <c r="U51" s="98"/>
      <c r="V51" s="6"/>
      <c r="W51" s="6"/>
      <c r="X51" s="6"/>
      <c r="Y51" s="6"/>
      <c r="Z51" s="6"/>
      <c r="AA51" s="6"/>
      <c r="AB51" s="6"/>
      <c r="AC51" s="6"/>
      <c r="AD51" s="6"/>
      <c r="AE51" s="20"/>
      <c r="AF51" s="6"/>
      <c r="AG51" s="6"/>
      <c r="AH51" s="20"/>
    </row>
    <row r="52" spans="1:34" s="3" customFormat="1" ht="27" customHeight="1">
      <c r="A52" s="9"/>
      <c r="B52" s="10"/>
      <c r="C52" s="26"/>
      <c r="D52" s="4"/>
      <c r="E52" s="4"/>
      <c r="F52" s="4"/>
      <c r="G52" s="7"/>
      <c r="H52" s="84"/>
      <c r="I52" s="91"/>
      <c r="J52" s="157"/>
      <c r="K52" s="87"/>
      <c r="L52" s="110"/>
      <c r="M52" s="118"/>
      <c r="N52" s="118"/>
      <c r="O52" s="131"/>
      <c r="P52" s="118"/>
      <c r="Q52" s="95"/>
      <c r="R52" s="98"/>
      <c r="S52" s="98"/>
      <c r="T52" s="98"/>
      <c r="U52" s="98"/>
      <c r="V52" s="6"/>
      <c r="W52" s="6"/>
      <c r="X52" s="6"/>
      <c r="Y52" s="6"/>
      <c r="Z52" s="6"/>
      <c r="AA52" s="6"/>
      <c r="AB52" s="6"/>
      <c r="AC52" s="6"/>
      <c r="AD52" s="6"/>
      <c r="AE52" s="20"/>
      <c r="AF52" s="6"/>
      <c r="AG52" s="6"/>
      <c r="AH52" s="20"/>
    </row>
    <row r="53" spans="1:34" s="3" customFormat="1" ht="27" customHeight="1">
      <c r="A53" s="9"/>
      <c r="B53" s="10"/>
      <c r="C53" s="26"/>
      <c r="D53" s="32"/>
      <c r="E53" s="32"/>
      <c r="F53" s="32"/>
      <c r="G53" s="7"/>
      <c r="H53" s="84"/>
      <c r="I53" s="91"/>
      <c r="J53" s="157"/>
      <c r="K53" s="87"/>
      <c r="L53" s="110"/>
      <c r="M53" s="118"/>
      <c r="N53" s="118"/>
      <c r="O53" s="131"/>
      <c r="P53" s="118"/>
      <c r="Q53" s="95"/>
      <c r="R53" s="98"/>
      <c r="S53" s="98"/>
      <c r="T53" s="98"/>
      <c r="U53" s="98"/>
      <c r="V53" s="6"/>
      <c r="W53" s="6"/>
      <c r="X53" s="6"/>
      <c r="Y53" s="6"/>
      <c r="Z53" s="6"/>
      <c r="AA53" s="6"/>
      <c r="AB53" s="6"/>
      <c r="AC53" s="6"/>
      <c r="AD53" s="6"/>
      <c r="AE53" s="20"/>
      <c r="AF53" s="6"/>
      <c r="AG53" s="6"/>
      <c r="AH53" s="20"/>
    </row>
    <row r="54" spans="1:34" s="3" customFormat="1" ht="27" customHeight="1">
      <c r="A54" s="9"/>
      <c r="C54" s="30"/>
      <c r="D54" s="4"/>
      <c r="E54" s="4"/>
      <c r="F54" s="4"/>
      <c r="G54" s="7" t="s">
        <v>18</v>
      </c>
      <c r="H54" s="84"/>
      <c r="I54" s="91"/>
      <c r="J54" s="157">
        <f>SUM(H54-I54)</f>
        <v>0</v>
      </c>
      <c r="K54" s="87"/>
      <c r="L54" s="110"/>
      <c r="M54" s="118"/>
      <c r="N54" s="120"/>
      <c r="O54" s="131"/>
      <c r="P54" s="131"/>
      <c r="Q54" s="95"/>
      <c r="R54" s="98"/>
      <c r="S54" s="98"/>
      <c r="T54" s="98"/>
      <c r="U54" s="98"/>
      <c r="V54" s="6"/>
      <c r="W54" s="6"/>
      <c r="X54" s="6"/>
      <c r="Y54" s="6"/>
      <c r="Z54" s="6"/>
      <c r="AA54" s="6"/>
      <c r="AB54" s="6"/>
      <c r="AC54" s="6"/>
      <c r="AD54" s="6"/>
      <c r="AE54" s="20"/>
      <c r="AF54" s="6"/>
      <c r="AG54" s="6"/>
      <c r="AH54" s="20"/>
    </row>
    <row r="55" spans="1:34" s="3" customFormat="1" ht="27" customHeight="1">
      <c r="A55" s="9"/>
      <c r="C55" s="26"/>
      <c r="D55" s="4"/>
      <c r="E55" s="4"/>
      <c r="F55" s="4"/>
      <c r="G55" s="7" t="s">
        <v>18</v>
      </c>
      <c r="H55" s="84"/>
      <c r="I55" s="91"/>
      <c r="J55" s="157">
        <f>SUM(H55-I55)</f>
        <v>0</v>
      </c>
      <c r="K55" s="87"/>
      <c r="L55" s="109"/>
      <c r="M55" s="95"/>
      <c r="N55" s="117"/>
      <c r="O55" s="131"/>
      <c r="P55" s="131"/>
      <c r="Q55" s="95"/>
      <c r="R55" s="98"/>
      <c r="S55" s="98"/>
      <c r="T55" s="98"/>
      <c r="U55" s="98"/>
      <c r="V55" s="6"/>
      <c r="W55" s="6"/>
      <c r="X55" s="6"/>
      <c r="Y55" s="6"/>
      <c r="Z55" s="6"/>
      <c r="AA55" s="6"/>
      <c r="AB55" s="6"/>
      <c r="AC55" s="6"/>
      <c r="AD55" s="6"/>
      <c r="AE55" s="20"/>
      <c r="AF55" s="6"/>
      <c r="AG55" s="6"/>
      <c r="AH55" s="20"/>
    </row>
    <row r="56" spans="1:34" s="3" customFormat="1" ht="27" customHeight="1">
      <c r="A56" s="9"/>
      <c r="B56" s="10"/>
      <c r="C56" s="26"/>
      <c r="D56" s="28"/>
      <c r="E56" s="28"/>
      <c r="F56" s="21"/>
      <c r="G56" s="7" t="s">
        <v>18</v>
      </c>
      <c r="H56" s="91"/>
      <c r="I56" s="91"/>
      <c r="J56" s="157"/>
      <c r="K56" s="98"/>
      <c r="L56" s="98"/>
      <c r="M56" s="95"/>
      <c r="N56" s="117"/>
      <c r="O56" s="131"/>
      <c r="P56" s="131"/>
      <c r="Q56" s="95"/>
      <c r="R56" s="98"/>
      <c r="S56" s="98"/>
      <c r="T56" s="98"/>
      <c r="U56" s="98"/>
      <c r="V56" s="6"/>
      <c r="W56" s="6"/>
      <c r="X56" s="6"/>
      <c r="Y56" s="6"/>
      <c r="Z56" s="6"/>
      <c r="AA56" s="6"/>
      <c r="AB56" s="6"/>
      <c r="AC56" s="6"/>
      <c r="AD56" s="6"/>
      <c r="AE56" s="20"/>
      <c r="AF56" s="6"/>
      <c r="AG56" s="6"/>
      <c r="AH56" s="20"/>
    </row>
    <row r="64" spans="1:34" ht="27" customHeight="1">
      <c r="D64" s="20"/>
      <c r="E64" s="20"/>
      <c r="F64" s="20"/>
    </row>
    <row r="65" spans="3:6" ht="27" customHeight="1">
      <c r="D65" s="20"/>
      <c r="E65" s="20"/>
      <c r="F65" s="20"/>
    </row>
    <row r="66" spans="3:6" ht="27" customHeight="1">
      <c r="D66" s="20"/>
      <c r="E66" s="20"/>
      <c r="F66" s="20"/>
    </row>
    <row r="67" spans="3:6" ht="27" customHeight="1">
      <c r="D67" s="20"/>
      <c r="E67" s="20"/>
      <c r="F67" s="20"/>
    </row>
    <row r="68" spans="3:6" ht="27" customHeight="1">
      <c r="C68" s="62"/>
      <c r="D68" s="63"/>
      <c r="E68" s="63"/>
      <c r="F68" s="63"/>
    </row>
  </sheetData>
  <mergeCells count="8">
    <mergeCell ref="A31:G31"/>
    <mergeCell ref="A32:G32"/>
    <mergeCell ref="A1:G1"/>
    <mergeCell ref="A2:G2"/>
    <mergeCell ref="A3:G3"/>
    <mergeCell ref="A4:G4"/>
    <mergeCell ref="A29:G29"/>
    <mergeCell ref="A30:G30"/>
  </mergeCells>
  <pageMargins left="0.23622047244094491" right="0.23622047244094491" top="0.74803149606299213" bottom="0.74803149606299213" header="0.31496062992125984" footer="0.31496062992125984"/>
  <pageSetup scale="4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7"/>
  <sheetViews>
    <sheetView zoomScale="80" zoomScaleNormal="80" workbookViewId="0">
      <selection activeCell="B50" sqref="B50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45.85546875" style="30" bestFit="1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37" style="6" customWidth="1"/>
    <col min="8" max="8" width="11.5703125" style="84" bestFit="1" customWidth="1"/>
    <col min="9" max="9" width="9.5703125" style="91" customWidth="1"/>
    <col min="10" max="10" width="17.5703125" style="157" customWidth="1"/>
    <col min="11" max="11" width="16.7109375" style="87" customWidth="1"/>
    <col min="12" max="12" width="23.42578125" style="109" customWidth="1"/>
    <col min="13" max="13" width="9.7109375" style="95" customWidth="1"/>
    <col min="14" max="14" width="11.28515625" style="117" bestFit="1" customWidth="1"/>
    <col min="15" max="15" width="9.140625" style="131" bestFit="1" customWidth="1"/>
    <col min="16" max="16" width="10.140625" style="131" bestFit="1" customWidth="1"/>
    <col min="17" max="17" width="11.7109375" style="95" customWidth="1"/>
    <col min="18" max="18" width="6.85546875" style="6" customWidth="1"/>
    <col min="19" max="19" width="13.85546875" style="6" customWidth="1"/>
    <col min="20" max="20" width="11.7109375" style="6" customWidth="1"/>
    <col min="21" max="21" width="43.42578125" style="6" customWidth="1"/>
    <col min="22" max="30" width="11.7109375" style="6" customWidth="1"/>
    <col min="31" max="31" width="11.7109375" style="20" customWidth="1"/>
    <col min="32" max="33" width="11.7109375" style="6" customWidth="1"/>
    <col min="34" max="34" width="11.7109375" style="20" customWidth="1"/>
    <col min="35" max="35" width="11.7109375" style="6" customWidth="1"/>
    <col min="36" max="36" width="2.28515625" style="6" customWidth="1"/>
    <col min="37" max="37" width="15.5703125" style="6" customWidth="1"/>
    <col min="38" max="38" width="11.42578125" style="6" customWidth="1"/>
    <col min="39" max="39" width="11.42578125" style="6"/>
    <col min="40" max="40" width="11.42578125" style="6" customWidth="1"/>
    <col min="41" max="41" width="42.28515625" style="6" customWidth="1"/>
    <col min="42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153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226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ht="27" customHeight="1">
      <c r="A7" s="31">
        <v>1</v>
      </c>
      <c r="B7" s="10" t="str">
        <f t="shared" ref="B7:B8" si="0">+L7</f>
        <v xml:space="preserve">GUTIERREZ ESPARZA JUAN MANUEL </v>
      </c>
      <c r="C7" s="6" t="str">
        <f t="shared" ref="C7:C8" si="1">+M7</f>
        <v>SECRETARIO PARTICULAR</v>
      </c>
      <c r="D7" s="20">
        <f>H7*5</f>
        <v>2904.9133333333334</v>
      </c>
      <c r="E7" s="20">
        <f>I7*5</f>
        <v>404.91333333333336</v>
      </c>
      <c r="F7" s="20">
        <f t="shared" ref="F7:F8" si="2">D7-E7</f>
        <v>2500</v>
      </c>
      <c r="G7" s="7"/>
      <c r="H7" s="84">
        <f t="shared" ref="H7:H8" si="3">+N7/15</f>
        <v>580.98266666666666</v>
      </c>
      <c r="I7" s="84">
        <f t="shared" ref="I7:I8" si="4">+P7/15</f>
        <v>80.982666666666674</v>
      </c>
      <c r="J7" s="157">
        <f t="shared" ref="J7:J19" si="5">+H7-I7</f>
        <v>500</v>
      </c>
      <c r="K7" s="142"/>
      <c r="L7" s="134" t="s">
        <v>227</v>
      </c>
      <c r="M7" s="148" t="s">
        <v>229</v>
      </c>
      <c r="N7" s="158">
        <v>8714.74</v>
      </c>
      <c r="O7" s="158"/>
      <c r="P7" s="158">
        <v>1214.74</v>
      </c>
      <c r="R7" s="2"/>
      <c r="S7" s="3"/>
      <c r="AC7" s="20"/>
      <c r="AE7" s="6"/>
      <c r="AF7" s="20"/>
      <c r="AH7" s="6"/>
    </row>
    <row r="8" spans="1:35" ht="27" customHeight="1">
      <c r="A8" s="31">
        <v>2</v>
      </c>
      <c r="B8" s="10" t="str">
        <f t="shared" si="0"/>
        <v xml:space="preserve">MARTINES NERY PATRICIA </v>
      </c>
      <c r="C8" s="6" t="str">
        <f t="shared" si="1"/>
        <v>CORDINADOR GENERAL DE SERVICIOS MUNICIPALES</v>
      </c>
      <c r="D8" s="20">
        <f>H8*10</f>
        <v>7929.1866666666665</v>
      </c>
      <c r="E8" s="20">
        <f>I8*10</f>
        <v>1262.52</v>
      </c>
      <c r="F8" s="20">
        <f t="shared" si="2"/>
        <v>6666.6666666666661</v>
      </c>
      <c r="G8" s="7"/>
      <c r="H8" s="84">
        <f t="shared" si="3"/>
        <v>792.9186666666667</v>
      </c>
      <c r="I8" s="84">
        <f t="shared" si="4"/>
        <v>126.252</v>
      </c>
      <c r="J8" s="157">
        <f t="shared" si="5"/>
        <v>666.66666666666674</v>
      </c>
      <c r="K8" s="142"/>
      <c r="L8" s="146" t="s">
        <v>228</v>
      </c>
      <c r="M8" s="148" t="s">
        <v>230</v>
      </c>
      <c r="N8" s="141">
        <v>11893.78</v>
      </c>
      <c r="O8" s="141">
        <v>0</v>
      </c>
      <c r="P8" s="141">
        <v>1893.78</v>
      </c>
      <c r="R8" s="2"/>
      <c r="S8" s="3"/>
      <c r="AC8" s="20"/>
      <c r="AE8" s="6"/>
      <c r="AF8" s="20"/>
      <c r="AH8" s="6"/>
    </row>
    <row r="9" spans="1:35" s="3" customFormat="1" ht="27" customHeight="1">
      <c r="A9" s="31">
        <v>3</v>
      </c>
      <c r="B9" s="10" t="str">
        <f t="shared" ref="B9:C19" si="6">+L9</f>
        <v xml:space="preserve">CARBAJAL HERNANDEZ ROBERTO </v>
      </c>
      <c r="C9" s="6" t="str">
        <f t="shared" si="6"/>
        <v>CUADRILLA AGUA POTABLE Y ALCAN</v>
      </c>
      <c r="D9" s="20">
        <f>H9*12.7682239035</f>
        <v>3818.2096761026401</v>
      </c>
      <c r="E9" s="20">
        <f>I9*12.7682239035</f>
        <v>318.20967612302701</v>
      </c>
      <c r="F9" s="20">
        <f t="shared" ref="F9:F19" si="7">D9-E9</f>
        <v>3499.9999999796132</v>
      </c>
      <c r="G9" s="7"/>
      <c r="H9" s="84">
        <f t="shared" ref="H9:I19" si="8">+N9/15</f>
        <v>299.04000000000002</v>
      </c>
      <c r="I9" s="84">
        <f t="shared" ref="I9" si="9">+P9/15</f>
        <v>24.922000000000001</v>
      </c>
      <c r="J9" s="157">
        <f t="shared" si="5"/>
        <v>274.11799999999999</v>
      </c>
      <c r="K9" s="142"/>
      <c r="L9" s="98" t="s">
        <v>131</v>
      </c>
      <c r="M9" s="144" t="s">
        <v>57</v>
      </c>
      <c r="N9" s="134">
        <v>4485.6000000000004</v>
      </c>
      <c r="O9" s="134">
        <v>0</v>
      </c>
      <c r="P9" s="97">
        <v>373.83</v>
      </c>
      <c r="Q9" s="95"/>
      <c r="R9" s="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0"/>
      <c r="AG9" s="6"/>
      <c r="AH9" s="6"/>
      <c r="AI9" s="20"/>
    </row>
    <row r="10" spans="1:35" s="3" customFormat="1" ht="27" customHeight="1">
      <c r="A10" s="31">
        <v>4</v>
      </c>
      <c r="B10" s="10" t="s">
        <v>175</v>
      </c>
      <c r="C10" s="6" t="s">
        <v>177</v>
      </c>
      <c r="D10" s="20">
        <f>H10*1.25</f>
        <v>231.8725</v>
      </c>
      <c r="E10" s="20">
        <f>I10*1.25</f>
        <v>2.7058333333333335</v>
      </c>
      <c r="F10" s="20">
        <f t="shared" si="7"/>
        <v>229.16666666666666</v>
      </c>
      <c r="G10" s="7"/>
      <c r="H10" s="84">
        <f t="shared" si="8"/>
        <v>185.49799999999999</v>
      </c>
      <c r="I10" s="84">
        <f t="shared" si="8"/>
        <v>2.1646666666666667</v>
      </c>
      <c r="J10" s="86">
        <f t="shared" si="5"/>
        <v>183.33333333333331</v>
      </c>
      <c r="K10" s="134"/>
      <c r="L10" s="134"/>
      <c r="M10" s="134"/>
      <c r="N10" s="134">
        <v>2782.47</v>
      </c>
      <c r="O10" s="134">
        <v>32.47</v>
      </c>
      <c r="P10" s="134"/>
      <c r="Q10" s="95"/>
      <c r="R10" s="2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0"/>
      <c r="AG10" s="6"/>
      <c r="AH10" s="6"/>
      <c r="AI10" s="20"/>
    </row>
    <row r="11" spans="1:35" s="3" customFormat="1" ht="27" customHeight="1">
      <c r="A11" s="31">
        <v>5</v>
      </c>
      <c r="B11" s="10" t="str">
        <f>+L11</f>
        <v xml:space="preserve">ESPINOZA SANCHEZ ALBERTO </v>
      </c>
      <c r="C11" s="6" t="str">
        <f t="shared" ref="C11" si="10">+M11</f>
        <v>AUX. AGUA POTABLE</v>
      </c>
      <c r="D11" s="20">
        <f>H11*10</f>
        <v>1854.98</v>
      </c>
      <c r="E11" s="20">
        <f>I11*10</f>
        <v>21.646666666666668</v>
      </c>
      <c r="F11" s="20">
        <f t="shared" ref="F11" si="11">D11-E11</f>
        <v>1833.3333333333333</v>
      </c>
      <c r="G11" s="7"/>
      <c r="H11" s="84">
        <f>+N11/15</f>
        <v>185.49799999999999</v>
      </c>
      <c r="I11" s="84">
        <f>+P11/15</f>
        <v>2.1646666666666667</v>
      </c>
      <c r="J11" s="157">
        <f t="shared" ref="J11" si="12">+H11-I11</f>
        <v>183.33333333333331</v>
      </c>
      <c r="K11" s="142"/>
      <c r="L11" s="98" t="s">
        <v>231</v>
      </c>
      <c r="M11" s="156" t="s">
        <v>233</v>
      </c>
      <c r="N11" s="141">
        <v>2782.47</v>
      </c>
      <c r="O11" s="141">
        <v>0</v>
      </c>
      <c r="P11" s="141">
        <v>32.47</v>
      </c>
      <c r="Q11" s="95"/>
      <c r="R11" s="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0"/>
      <c r="AG11" s="6"/>
      <c r="AH11" s="6"/>
      <c r="AI11" s="20"/>
    </row>
    <row r="12" spans="1:35" s="3" customFormat="1" ht="27" customHeight="1">
      <c r="A12" s="31">
        <v>6</v>
      </c>
      <c r="B12" s="10" t="str">
        <f t="shared" si="6"/>
        <v xml:space="preserve">FLORES GONZALEZ EDUARDO </v>
      </c>
      <c r="C12" s="6" t="str">
        <f t="shared" si="6"/>
        <v xml:space="preserve"> JEFE DE DEPARTAMENTO DE PROVEDURIA</v>
      </c>
      <c r="D12" s="20">
        <f>H12*10</f>
        <v>3298.5266666666666</v>
      </c>
      <c r="E12" s="20">
        <f>I12*10</f>
        <v>298.5266666666667</v>
      </c>
      <c r="F12" s="20">
        <f t="shared" si="7"/>
        <v>3000</v>
      </c>
      <c r="G12" s="7"/>
      <c r="H12" s="84">
        <f>+N12/15</f>
        <v>329.85266666666666</v>
      </c>
      <c r="I12" s="84">
        <f>+P12/15</f>
        <v>29.852666666666668</v>
      </c>
      <c r="J12" s="157">
        <f t="shared" si="5"/>
        <v>300</v>
      </c>
      <c r="K12" s="142"/>
      <c r="L12" s="146" t="s">
        <v>232</v>
      </c>
      <c r="M12" s="148" t="s">
        <v>234</v>
      </c>
      <c r="N12" s="141">
        <v>4947.79</v>
      </c>
      <c r="O12" s="141">
        <v>0</v>
      </c>
      <c r="P12" s="141">
        <v>447.79</v>
      </c>
      <c r="Q12" s="98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20"/>
      <c r="AD12" s="6"/>
      <c r="AE12" s="6"/>
      <c r="AF12" s="20"/>
    </row>
    <row r="13" spans="1:35" s="3" customFormat="1" ht="27" customHeight="1">
      <c r="A13" s="31">
        <v>7</v>
      </c>
      <c r="B13" s="10" t="str">
        <f t="shared" si="6"/>
        <v xml:space="preserve">GONZALEZ LIMON JOSE CARLOS </v>
      </c>
      <c r="C13" s="6" t="str">
        <f t="shared" si="6"/>
        <v>UNIDAD DE REHABILITACION DE ESCUELAS</v>
      </c>
      <c r="D13" s="20">
        <f>H13*4</f>
        <v>977.93066666666664</v>
      </c>
      <c r="E13" s="20">
        <f>I13*4</f>
        <v>44.597333333333339</v>
      </c>
      <c r="F13" s="20">
        <f t="shared" si="7"/>
        <v>933.33333333333326</v>
      </c>
      <c r="G13" s="7"/>
      <c r="H13" s="84">
        <f t="shared" ref="H13:I15" si="13">+N13/15</f>
        <v>244.48266666666666</v>
      </c>
      <c r="I13" s="84">
        <f t="shared" ref="I13:I14" si="14">+P13/15</f>
        <v>11.149333333333335</v>
      </c>
      <c r="J13" s="86">
        <f t="shared" si="5"/>
        <v>233.33333333333331</v>
      </c>
      <c r="K13" s="142"/>
      <c r="L13" s="98" t="s">
        <v>68</v>
      </c>
      <c r="M13" s="144" t="s">
        <v>69</v>
      </c>
      <c r="N13" s="134">
        <v>3667.24</v>
      </c>
      <c r="O13" s="134">
        <v>0</v>
      </c>
      <c r="P13" s="134">
        <v>167.24</v>
      </c>
      <c r="Q13" s="95"/>
      <c r="R13" s="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0"/>
      <c r="AG13" s="6"/>
      <c r="AH13" s="6"/>
      <c r="AI13" s="20"/>
    </row>
    <row r="14" spans="1:35" s="3" customFormat="1" ht="27" customHeight="1">
      <c r="A14" s="31">
        <v>8</v>
      </c>
      <c r="B14" s="10" t="str">
        <f t="shared" si="6"/>
        <v xml:space="preserve">GONZALEZ VAZQUEZ JORGE ARMANDO </v>
      </c>
      <c r="C14" s="6" t="str">
        <f t="shared" si="6"/>
        <v>BASURA</v>
      </c>
      <c r="D14" s="20">
        <f>H14*3</f>
        <v>504</v>
      </c>
      <c r="E14" s="20">
        <f>I14*3</f>
        <v>0</v>
      </c>
      <c r="F14" s="20">
        <f t="shared" si="7"/>
        <v>504</v>
      </c>
      <c r="G14" s="7"/>
      <c r="H14" s="84">
        <f t="shared" si="13"/>
        <v>168</v>
      </c>
      <c r="I14" s="84">
        <f t="shared" si="14"/>
        <v>0</v>
      </c>
      <c r="J14" s="86">
        <f t="shared" si="5"/>
        <v>168</v>
      </c>
      <c r="K14" s="142"/>
      <c r="L14" s="146" t="s">
        <v>156</v>
      </c>
      <c r="M14" s="148" t="s">
        <v>133</v>
      </c>
      <c r="N14" s="134">
        <v>2520</v>
      </c>
      <c r="O14" s="134">
        <v>11.21</v>
      </c>
      <c r="P14" s="134">
        <v>0</v>
      </c>
      <c r="Q14" s="95"/>
      <c r="R14" s="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0"/>
      <c r="AG14" s="6"/>
      <c r="AH14" s="6"/>
      <c r="AI14" s="20"/>
    </row>
    <row r="15" spans="1:35" s="3" customFormat="1" ht="27" customHeight="1">
      <c r="A15" s="31">
        <v>9</v>
      </c>
      <c r="B15" s="10" t="str">
        <f t="shared" si="6"/>
        <v xml:space="preserve">GONZALEZ VAZQUEZ SALVADOR </v>
      </c>
      <c r="C15" s="6" t="str">
        <f t="shared" si="6"/>
        <v>BASURA</v>
      </c>
      <c r="D15" s="20">
        <f>H15*3</f>
        <v>1019.8</v>
      </c>
      <c r="E15" s="20">
        <f>I15*3</f>
        <v>94.715999999999994</v>
      </c>
      <c r="F15" s="20">
        <f t="shared" si="7"/>
        <v>925.08399999999995</v>
      </c>
      <c r="G15" s="7"/>
      <c r="H15" s="84">
        <f t="shared" si="13"/>
        <v>339.93333333333334</v>
      </c>
      <c r="I15" s="84">
        <f t="shared" si="13"/>
        <v>31.571999999999999</v>
      </c>
      <c r="J15" s="86">
        <f t="shared" si="5"/>
        <v>308.36133333333333</v>
      </c>
      <c r="K15" s="134"/>
      <c r="L15" s="134" t="s">
        <v>137</v>
      </c>
      <c r="M15" s="134" t="s">
        <v>133</v>
      </c>
      <c r="N15" s="134">
        <v>5099</v>
      </c>
      <c r="O15" s="134">
        <v>473.58</v>
      </c>
      <c r="P15" s="134"/>
      <c r="Q15" s="95"/>
      <c r="R15" s="2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20"/>
      <c r="AG15" s="6"/>
      <c r="AH15" s="6"/>
      <c r="AI15" s="20"/>
    </row>
    <row r="16" spans="1:35" s="3" customFormat="1" ht="27" customHeight="1">
      <c r="A16" s="31">
        <v>10</v>
      </c>
      <c r="B16" s="10" t="str">
        <f t="shared" ref="B16:B17" si="15">+L16</f>
        <v xml:space="preserve">CAMACHO MAYORAL JAIRO AARON </v>
      </c>
      <c r="C16" s="6" t="str">
        <f t="shared" ref="C16:C17" si="16">+M16</f>
        <v>TITULAR DEL MODULO DE MAQUINARIA</v>
      </c>
      <c r="D16" s="20">
        <f>H16*1.25</f>
        <v>567.27666666666664</v>
      </c>
      <c r="E16" s="20">
        <f>I16*1.25</f>
        <v>67.276666666666671</v>
      </c>
      <c r="F16" s="20">
        <f t="shared" ref="F16:F17" si="17">D16-E16</f>
        <v>500</v>
      </c>
      <c r="G16" s="7"/>
      <c r="H16" s="84">
        <f t="shared" ref="H16:H17" si="18">+N16/15</f>
        <v>453.82133333333331</v>
      </c>
      <c r="I16" s="84">
        <f>+P16/15</f>
        <v>53.821333333333335</v>
      </c>
      <c r="J16" s="86">
        <f t="shared" ref="J16:J17" si="19">+H16-I16</f>
        <v>400</v>
      </c>
      <c r="K16" s="142"/>
      <c r="L16" s="146" t="s">
        <v>235</v>
      </c>
      <c r="M16" s="159" t="s">
        <v>236</v>
      </c>
      <c r="N16" s="141">
        <v>6807.32</v>
      </c>
      <c r="O16" s="141"/>
      <c r="P16" s="141">
        <v>807.32</v>
      </c>
      <c r="Q16" s="95"/>
      <c r="R16" s="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20"/>
      <c r="AG16" s="6"/>
      <c r="AH16" s="6"/>
      <c r="AI16" s="20"/>
    </row>
    <row r="17" spans="1:35" s="3" customFormat="1" ht="27" customHeight="1">
      <c r="A17" s="31">
        <v>11</v>
      </c>
      <c r="B17" s="10" t="str">
        <f t="shared" si="15"/>
        <v>TORRES VAZQUEZ OSCAR</v>
      </c>
      <c r="C17" s="6" t="str">
        <f t="shared" si="16"/>
        <v>CHOFER VOLTEO VOLVO ROJO 14M3</v>
      </c>
      <c r="D17" s="20">
        <f>H17*0.3266159</f>
        <v>110.154478434</v>
      </c>
      <c r="E17" s="20">
        <f>I17*0.3266</f>
        <v>10.155082666666665</v>
      </c>
      <c r="F17" s="20">
        <f t="shared" si="17"/>
        <v>99.99939576733334</v>
      </c>
      <c r="G17" s="7"/>
      <c r="H17" s="84">
        <f t="shared" si="18"/>
        <v>337.26</v>
      </c>
      <c r="I17" s="84">
        <f t="shared" ref="I17" si="20">+P17/15</f>
        <v>31.09333333333333</v>
      </c>
      <c r="J17" s="157">
        <f t="shared" si="19"/>
        <v>306.16666666666669</v>
      </c>
      <c r="K17" s="142"/>
      <c r="L17" s="146" t="s">
        <v>199</v>
      </c>
      <c r="M17" s="148" t="s">
        <v>200</v>
      </c>
      <c r="N17" s="134">
        <v>5058.8999999999996</v>
      </c>
      <c r="O17" s="134"/>
      <c r="P17" s="97">
        <v>466.4</v>
      </c>
      <c r="Q17" s="95"/>
      <c r="R17" s="2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20"/>
      <c r="AG17" s="6"/>
      <c r="AH17" s="6"/>
      <c r="AI17" s="20"/>
    </row>
    <row r="18" spans="1:35" s="3" customFormat="1" ht="27" customHeight="1">
      <c r="A18" s="31">
        <v>12</v>
      </c>
      <c r="B18" s="10" t="str">
        <f t="shared" si="6"/>
        <v xml:space="preserve">ALVAREZ OROZCO CESAR ISMAEL </v>
      </c>
      <c r="C18" s="6" t="str">
        <f t="shared" si="6"/>
        <v>OPERADOR C</v>
      </c>
      <c r="D18" s="20">
        <f>H18*1.3333333333333</f>
        <v>439.80355555554456</v>
      </c>
      <c r="E18" s="20">
        <f>I18*1.3333333333</f>
        <v>39.803555554560468</v>
      </c>
      <c r="F18" s="20">
        <f t="shared" si="7"/>
        <v>400.00000000098407</v>
      </c>
      <c r="G18" s="7"/>
      <c r="H18" s="84">
        <f t="shared" si="8"/>
        <v>329.85266666666666</v>
      </c>
      <c r="I18" s="84">
        <f>+P18/15</f>
        <v>29.852666666666668</v>
      </c>
      <c r="J18" s="157">
        <f t="shared" si="5"/>
        <v>300</v>
      </c>
      <c r="K18" s="142"/>
      <c r="L18" s="146" t="s">
        <v>237</v>
      </c>
      <c r="M18" s="148" t="s">
        <v>238</v>
      </c>
      <c r="N18" s="141">
        <v>4947.79</v>
      </c>
      <c r="O18" s="141"/>
      <c r="P18" s="141">
        <v>447.79</v>
      </c>
      <c r="Q18" s="95"/>
      <c r="R18" s="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20"/>
      <c r="AG18" s="6"/>
      <c r="AH18" s="6"/>
      <c r="AI18" s="20"/>
    </row>
    <row r="19" spans="1:35" s="3" customFormat="1" ht="27" customHeight="1">
      <c r="A19" s="31">
        <v>13</v>
      </c>
      <c r="B19" s="10" t="str">
        <f t="shared" si="6"/>
        <v xml:space="preserve">CORONADO ENCISO JESUS GUADALUPE </v>
      </c>
      <c r="C19" s="6" t="str">
        <f t="shared" si="6"/>
        <v>MEDICO B</v>
      </c>
      <c r="D19" s="20">
        <f>H19</f>
        <v>580.98266666666666</v>
      </c>
      <c r="E19" s="20">
        <f>I19</f>
        <v>80.982666666666674</v>
      </c>
      <c r="F19" s="20">
        <f t="shared" si="7"/>
        <v>500</v>
      </c>
      <c r="G19" s="7"/>
      <c r="H19" s="84">
        <f t="shared" si="8"/>
        <v>580.98266666666666</v>
      </c>
      <c r="I19" s="84">
        <f t="shared" si="8"/>
        <v>80.982666666666674</v>
      </c>
      <c r="J19" s="86">
        <f t="shared" si="5"/>
        <v>500</v>
      </c>
      <c r="K19" s="134"/>
      <c r="L19" s="134" t="s">
        <v>145</v>
      </c>
      <c r="M19" s="134" t="s">
        <v>146</v>
      </c>
      <c r="N19" s="134">
        <v>8714.74</v>
      </c>
      <c r="O19" s="97">
        <v>1214.74</v>
      </c>
      <c r="P19" s="97">
        <v>1214.74</v>
      </c>
      <c r="Q19" s="95"/>
      <c r="R19" s="2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20"/>
      <c r="AG19" s="6"/>
      <c r="AH19" s="6"/>
      <c r="AI19" s="20"/>
    </row>
    <row r="20" spans="1:35" s="3" customFormat="1" ht="27" customHeight="1">
      <c r="A20" s="31"/>
      <c r="B20" s="10"/>
      <c r="C20" s="6"/>
      <c r="D20" s="20"/>
      <c r="E20" s="20"/>
      <c r="F20" s="20"/>
      <c r="G20" s="7"/>
      <c r="H20" s="84"/>
      <c r="I20" s="91"/>
      <c r="J20" s="157"/>
      <c r="K20" s="134"/>
      <c r="L20" s="134"/>
      <c r="M20" s="134"/>
      <c r="N20" s="97"/>
      <c r="O20" s="95"/>
      <c r="P20" s="95"/>
      <c r="Q20" s="98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20"/>
      <c r="AD20" s="6"/>
      <c r="AE20" s="6"/>
      <c r="AF20" s="20"/>
    </row>
    <row r="21" spans="1:35" s="3" customFormat="1" ht="27" customHeight="1">
      <c r="A21" s="31"/>
      <c r="B21" s="10"/>
      <c r="C21" s="67" t="s">
        <v>165</v>
      </c>
      <c r="D21" s="63">
        <f>SUM(D7:D20)</f>
        <v>24237.63687675885</v>
      </c>
      <c r="E21" s="63">
        <f t="shared" ref="E21:F21" si="21">SUM(E7:E20)</f>
        <v>2646.0534810109207</v>
      </c>
      <c r="F21" s="63">
        <f t="shared" si="21"/>
        <v>21591.583395747926</v>
      </c>
      <c r="G21" s="7"/>
      <c r="H21" s="84"/>
      <c r="I21" s="84"/>
      <c r="J21" s="157"/>
      <c r="K21" s="134"/>
      <c r="L21" s="134"/>
      <c r="M21" s="134"/>
      <c r="N21" s="97"/>
      <c r="O21" s="95"/>
      <c r="P21" s="95"/>
      <c r="Q21" s="98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20"/>
      <c r="AD21" s="6"/>
      <c r="AE21" s="6"/>
      <c r="AF21" s="20"/>
    </row>
    <row r="22" spans="1:35" s="3" customFormat="1" ht="27" customHeight="1">
      <c r="A22" s="31"/>
      <c r="B22" s="10" t="s">
        <v>239</v>
      </c>
      <c r="C22" s="6"/>
      <c r="D22" s="20"/>
      <c r="E22" s="20"/>
      <c r="F22" s="20"/>
      <c r="G22" s="7"/>
      <c r="H22" s="84"/>
      <c r="I22" s="84"/>
      <c r="J22" s="157"/>
      <c r="K22" s="134"/>
      <c r="L22" s="134"/>
      <c r="M22" s="134"/>
      <c r="N22" s="134"/>
      <c r="O22" s="95"/>
      <c r="P22" s="95"/>
      <c r="Q22" s="98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20"/>
      <c r="AD22" s="6"/>
      <c r="AE22" s="6"/>
      <c r="AF22" s="20"/>
    </row>
    <row r="23" spans="1:35" s="3" customFormat="1" ht="27" customHeight="1">
      <c r="A23" s="31"/>
      <c r="B23" s="10" t="s">
        <v>240</v>
      </c>
      <c r="C23" s="6"/>
      <c r="D23" s="20"/>
      <c r="E23" s="20"/>
      <c r="F23" s="20"/>
      <c r="G23" s="7"/>
      <c r="H23" s="84"/>
      <c r="I23" s="84"/>
      <c r="J23" s="157"/>
      <c r="K23" s="134"/>
      <c r="L23" s="134"/>
      <c r="M23" s="134"/>
      <c r="N23" s="134"/>
      <c r="O23" s="95"/>
      <c r="P23" s="95"/>
      <c r="Q23" s="98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20"/>
      <c r="AD23" s="6"/>
      <c r="AE23" s="6"/>
      <c r="AF23" s="20"/>
    </row>
    <row r="24" spans="1:35" s="3" customFormat="1" ht="27" customHeight="1">
      <c r="A24" s="31"/>
      <c r="B24" s="10"/>
      <c r="C24" s="6"/>
      <c r="D24" s="20"/>
      <c r="E24" s="20"/>
      <c r="F24" s="20"/>
      <c r="G24" s="7"/>
      <c r="H24" s="84"/>
      <c r="I24" s="84"/>
      <c r="J24" s="157"/>
      <c r="K24" s="134"/>
      <c r="L24" s="134"/>
      <c r="M24" s="134"/>
      <c r="N24" s="134"/>
      <c r="O24" s="95"/>
      <c r="P24" s="95"/>
      <c r="Q24" s="98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20"/>
      <c r="AD24" s="6"/>
      <c r="AE24" s="6"/>
      <c r="AF24" s="20"/>
    </row>
    <row r="25" spans="1:35" s="3" customFormat="1" ht="27" customHeight="1">
      <c r="A25" s="31"/>
      <c r="B25" s="10"/>
      <c r="C25" s="6"/>
      <c r="D25" s="20"/>
      <c r="E25" s="20"/>
      <c r="F25" s="20"/>
      <c r="G25" s="7"/>
      <c r="H25" s="84"/>
      <c r="I25" s="84"/>
      <c r="J25" s="157"/>
      <c r="K25" s="134"/>
      <c r="L25" s="134"/>
      <c r="M25" s="134"/>
      <c r="N25" s="134"/>
      <c r="O25" s="95"/>
      <c r="P25" s="95"/>
      <c r="Q25" s="98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20"/>
      <c r="AD25" s="6"/>
      <c r="AE25" s="6"/>
      <c r="AF25" s="20"/>
    </row>
    <row r="26" spans="1:35" s="3" customFormat="1" ht="27" customHeight="1">
      <c r="A26" s="31"/>
      <c r="B26" s="10"/>
      <c r="C26" s="6"/>
      <c r="D26" s="20"/>
      <c r="E26" s="20"/>
      <c r="F26" s="20"/>
      <c r="G26" s="7"/>
      <c r="H26" s="84"/>
      <c r="I26" s="84"/>
      <c r="J26" s="157"/>
      <c r="K26" s="134"/>
      <c r="L26" s="134"/>
      <c r="M26" s="134"/>
      <c r="N26" s="134"/>
      <c r="O26" s="95"/>
      <c r="P26" s="95"/>
      <c r="Q26" s="98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20"/>
      <c r="AD26" s="6"/>
      <c r="AE26" s="6"/>
      <c r="AF26" s="20"/>
    </row>
    <row r="27" spans="1:35" s="3" customFormat="1" ht="27" customHeight="1">
      <c r="A27" s="31"/>
      <c r="B27" s="10"/>
      <c r="C27" s="6"/>
      <c r="D27" s="20"/>
      <c r="E27" s="20"/>
      <c r="F27" s="20"/>
      <c r="G27" s="7"/>
      <c r="H27" s="84"/>
      <c r="I27" s="84"/>
      <c r="J27" s="157"/>
      <c r="K27" s="134"/>
      <c r="L27" s="134"/>
      <c r="M27" s="134"/>
      <c r="N27" s="134"/>
      <c r="O27" s="95"/>
      <c r="P27" s="95"/>
      <c r="Q27" s="98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20"/>
      <c r="AD27" s="6"/>
      <c r="AE27" s="6"/>
      <c r="AF27" s="20"/>
    </row>
    <row r="28" spans="1:35" s="3" customFormat="1" ht="27" customHeight="1">
      <c r="A28" s="31"/>
      <c r="B28" s="10"/>
      <c r="C28" s="6"/>
      <c r="D28" s="20"/>
      <c r="E28" s="20"/>
      <c r="F28" s="20"/>
      <c r="G28" s="7"/>
      <c r="H28" s="84"/>
      <c r="I28" s="84"/>
      <c r="J28" s="157"/>
      <c r="K28" s="134"/>
      <c r="L28" s="134"/>
      <c r="M28" s="134"/>
      <c r="N28" s="134"/>
      <c r="O28" s="95"/>
      <c r="P28" s="95"/>
      <c r="Q28" s="98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20"/>
      <c r="AD28" s="6"/>
      <c r="AE28" s="6"/>
      <c r="AF28" s="20"/>
    </row>
    <row r="29" spans="1:35" s="3" customFormat="1" ht="27" customHeight="1">
      <c r="A29" s="241" t="s">
        <v>24</v>
      </c>
      <c r="B29" s="242"/>
      <c r="C29" s="242"/>
      <c r="D29" s="242"/>
      <c r="E29" s="242"/>
      <c r="F29" s="242"/>
      <c r="G29" s="243"/>
      <c r="H29" s="84"/>
      <c r="I29" s="84"/>
      <c r="J29" s="157"/>
      <c r="K29" s="134"/>
      <c r="L29" s="134"/>
      <c r="M29" s="134"/>
      <c r="N29" s="134"/>
      <c r="O29" s="95"/>
      <c r="P29" s="95"/>
      <c r="Q29" s="98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20"/>
      <c r="AD29" s="6"/>
      <c r="AE29" s="6"/>
      <c r="AF29" s="20"/>
    </row>
    <row r="30" spans="1:35" s="3" customFormat="1" ht="27" customHeight="1">
      <c r="A30" s="241" t="s">
        <v>244</v>
      </c>
      <c r="B30" s="242"/>
      <c r="C30" s="242"/>
      <c r="D30" s="242"/>
      <c r="E30" s="242"/>
      <c r="F30" s="242"/>
      <c r="G30" s="243"/>
      <c r="H30" s="84"/>
      <c r="I30" s="84"/>
      <c r="J30" s="157"/>
      <c r="K30" s="134"/>
      <c r="L30" s="134"/>
      <c r="M30" s="134"/>
      <c r="N30" s="134"/>
      <c r="O30" s="95"/>
      <c r="P30" s="95"/>
      <c r="Q30" s="98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20"/>
      <c r="AD30" s="6"/>
      <c r="AE30" s="6"/>
      <c r="AF30" s="20"/>
    </row>
    <row r="31" spans="1:35" s="3" customFormat="1" ht="27" customHeight="1">
      <c r="A31" s="241" t="str">
        <f>+A3</f>
        <v xml:space="preserve">AYUNTAMIENTO Y QUE  CORRESPONDEN A LA 1RA QUINCENA DE JULIO DE 2019 </v>
      </c>
      <c r="B31" s="242"/>
      <c r="C31" s="242"/>
      <c r="D31" s="242"/>
      <c r="E31" s="242"/>
      <c r="F31" s="242"/>
      <c r="G31" s="243"/>
      <c r="H31" s="84"/>
      <c r="I31" s="84"/>
      <c r="J31" s="157"/>
      <c r="K31" s="134"/>
      <c r="L31" s="134"/>
      <c r="M31" s="134"/>
      <c r="N31" s="134"/>
      <c r="O31" s="95"/>
      <c r="P31" s="95"/>
      <c r="Q31" s="98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20"/>
      <c r="AD31" s="6"/>
      <c r="AE31" s="6"/>
      <c r="AF31" s="20"/>
    </row>
    <row r="32" spans="1:35" s="3" customFormat="1" ht="27" customHeight="1">
      <c r="A32" s="241" t="s">
        <v>27</v>
      </c>
      <c r="B32" s="242"/>
      <c r="C32" s="242"/>
      <c r="D32" s="242"/>
      <c r="E32" s="242"/>
      <c r="F32" s="242"/>
      <c r="G32" s="243"/>
      <c r="H32" s="84"/>
      <c r="I32" s="84"/>
      <c r="J32" s="157"/>
      <c r="K32" s="134"/>
      <c r="L32" s="134"/>
      <c r="M32" s="134"/>
      <c r="N32" s="134"/>
      <c r="O32" s="95"/>
      <c r="P32" s="95"/>
      <c r="Q32" s="98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20"/>
      <c r="AD32" s="6"/>
      <c r="AE32" s="6"/>
      <c r="AF32" s="20"/>
    </row>
    <row r="33" spans="1:33" s="3" customFormat="1" ht="27" customHeight="1">
      <c r="A33" s="31"/>
      <c r="B33" s="10"/>
      <c r="C33" s="8"/>
      <c r="D33" s="20"/>
      <c r="E33" s="20"/>
      <c r="F33" s="20"/>
      <c r="G33" s="7"/>
      <c r="H33" s="84"/>
      <c r="I33" s="84"/>
      <c r="J33" s="157"/>
      <c r="K33" s="134"/>
      <c r="L33" s="134"/>
      <c r="M33" s="134"/>
      <c r="N33" s="134"/>
      <c r="O33" s="95"/>
      <c r="P33" s="95"/>
      <c r="Q33" s="98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20"/>
      <c r="AD33" s="6"/>
      <c r="AE33" s="6"/>
      <c r="AF33" s="20"/>
    </row>
    <row r="34" spans="1:33" s="3" customFormat="1" ht="27" customHeight="1">
      <c r="A34" s="31">
        <v>1</v>
      </c>
      <c r="B34" s="10"/>
      <c r="C34" s="8" t="str">
        <f>+M34</f>
        <v>POLICIA DE LINEA</v>
      </c>
      <c r="D34" s="20">
        <f t="shared" ref="D34:E41" si="22">H34</f>
        <v>391.47533333333337</v>
      </c>
      <c r="E34" s="20">
        <f t="shared" si="22"/>
        <v>40.808666666666667</v>
      </c>
      <c r="F34" s="20">
        <f t="shared" ref="F34:F42" si="23">D34-E34</f>
        <v>350.66666666666669</v>
      </c>
      <c r="G34" s="7"/>
      <c r="H34" s="84">
        <f t="shared" ref="H34:I42" si="24">+N34/15</f>
        <v>391.47533333333337</v>
      </c>
      <c r="I34" s="84">
        <f>+O34/15</f>
        <v>40.808666666666667</v>
      </c>
      <c r="J34" s="86">
        <f>+H34-I34</f>
        <v>350.66666666666669</v>
      </c>
      <c r="K34" s="134"/>
      <c r="L34" s="134" t="s">
        <v>213</v>
      </c>
      <c r="M34" s="134" t="s">
        <v>90</v>
      </c>
      <c r="N34" s="134">
        <v>5872.13</v>
      </c>
      <c r="O34" s="95">
        <v>612.13</v>
      </c>
      <c r="P34" s="98"/>
      <c r="Q34" s="98"/>
      <c r="R34" s="6"/>
      <c r="S34" s="6"/>
      <c r="T34" s="6"/>
      <c r="U34" s="6"/>
      <c r="V34" s="6"/>
      <c r="W34" s="6"/>
      <c r="X34" s="6"/>
      <c r="Y34" s="6"/>
      <c r="Z34" s="6"/>
      <c r="AA34" s="6"/>
      <c r="AB34" s="20"/>
      <c r="AC34" s="6"/>
      <c r="AD34" s="6"/>
      <c r="AE34" s="20"/>
    </row>
    <row r="35" spans="1:33" s="3" customFormat="1" ht="27" customHeight="1">
      <c r="A35" s="31">
        <v>2</v>
      </c>
      <c r="B35" s="10"/>
      <c r="C35" s="8" t="str">
        <f t="shared" ref="B35:C42" si="25">+M35</f>
        <v>POLICIA DE LINEA</v>
      </c>
      <c r="D35" s="20">
        <f t="shared" si="22"/>
        <v>391.47533333333337</v>
      </c>
      <c r="E35" s="20">
        <f t="shared" si="22"/>
        <v>40.808666666666667</v>
      </c>
      <c r="F35" s="20">
        <f t="shared" si="23"/>
        <v>350.66666666666669</v>
      </c>
      <c r="G35" s="7"/>
      <c r="H35" s="84">
        <f t="shared" si="24"/>
        <v>391.47533333333337</v>
      </c>
      <c r="I35" s="84">
        <f t="shared" si="24"/>
        <v>40.808666666666667</v>
      </c>
      <c r="J35" s="86">
        <f t="shared" ref="J35:J42" si="26">+H35-I35</f>
        <v>350.66666666666669</v>
      </c>
      <c r="K35" s="142"/>
      <c r="L35" s="98" t="s">
        <v>242</v>
      </c>
      <c r="M35" s="134" t="s">
        <v>90</v>
      </c>
      <c r="N35" s="134">
        <v>5872.13</v>
      </c>
      <c r="O35" s="95">
        <v>612.13</v>
      </c>
      <c r="P35" s="98"/>
      <c r="Q35" s="98"/>
      <c r="R35" s="6"/>
      <c r="S35" s="6"/>
      <c r="T35" s="6"/>
      <c r="U35" s="6"/>
      <c r="V35" s="6"/>
      <c r="W35" s="6"/>
      <c r="X35" s="6"/>
      <c r="Y35" s="6"/>
      <c r="Z35" s="6"/>
      <c r="AA35" s="6"/>
      <c r="AB35" s="20"/>
      <c r="AC35" s="6"/>
      <c r="AD35" s="6"/>
      <c r="AE35" s="20"/>
    </row>
    <row r="36" spans="1:33" s="3" customFormat="1" ht="27" customHeight="1">
      <c r="A36" s="31">
        <v>3</v>
      </c>
      <c r="B36" s="10" t="str">
        <f t="shared" si="25"/>
        <v xml:space="preserve">CAMACHO FLORES MARIO </v>
      </c>
      <c r="C36" s="8" t="str">
        <f t="shared" si="25"/>
        <v>COMANDANTE</v>
      </c>
      <c r="D36" s="20">
        <f t="shared" si="22"/>
        <v>432.6273333333333</v>
      </c>
      <c r="E36" s="20">
        <f t="shared" si="22"/>
        <v>49.293999999999997</v>
      </c>
      <c r="F36" s="20">
        <f t="shared" si="23"/>
        <v>383.33333333333331</v>
      </c>
      <c r="G36" s="7"/>
      <c r="H36" s="84">
        <f t="shared" si="24"/>
        <v>432.6273333333333</v>
      </c>
      <c r="I36" s="84">
        <f t="shared" si="24"/>
        <v>49.293999999999997</v>
      </c>
      <c r="J36" s="86">
        <f t="shared" si="26"/>
        <v>383.33333333333331</v>
      </c>
      <c r="K36" s="134"/>
      <c r="L36" s="134" t="s">
        <v>217</v>
      </c>
      <c r="M36" s="134" t="s">
        <v>208</v>
      </c>
      <c r="N36" s="134">
        <v>6489.41</v>
      </c>
      <c r="O36" s="95">
        <v>739.41</v>
      </c>
      <c r="P36" s="98"/>
      <c r="Q36" s="98"/>
      <c r="R36" s="6"/>
      <c r="S36" s="6"/>
      <c r="T36" s="6"/>
      <c r="U36" s="6"/>
      <c r="V36" s="6"/>
      <c r="W36" s="6"/>
      <c r="X36" s="6"/>
      <c r="Y36" s="6"/>
      <c r="Z36" s="6"/>
      <c r="AA36" s="6"/>
      <c r="AB36" s="20"/>
      <c r="AC36" s="6"/>
      <c r="AD36" s="6"/>
      <c r="AE36" s="20"/>
    </row>
    <row r="37" spans="1:33" s="3" customFormat="1" ht="27" customHeight="1">
      <c r="A37" s="31">
        <v>4</v>
      </c>
      <c r="B37" s="10"/>
      <c r="C37" s="6" t="str">
        <f t="shared" si="25"/>
        <v>POLICIA DE LINEA</v>
      </c>
      <c r="D37" s="20">
        <f t="shared" si="22"/>
        <v>391.47533333333337</v>
      </c>
      <c r="E37" s="20">
        <f t="shared" si="22"/>
        <v>40.808666666666667</v>
      </c>
      <c r="F37" s="20">
        <f t="shared" si="23"/>
        <v>350.66666666666669</v>
      </c>
      <c r="G37" s="7"/>
      <c r="H37" s="84">
        <f t="shared" si="24"/>
        <v>391.47533333333337</v>
      </c>
      <c r="I37" s="84">
        <f t="shared" si="24"/>
        <v>40.808666666666667</v>
      </c>
      <c r="J37" s="86">
        <f t="shared" si="26"/>
        <v>350.66666666666669</v>
      </c>
      <c r="K37" s="134"/>
      <c r="L37" s="134" t="s">
        <v>162</v>
      </c>
      <c r="M37" s="134" t="s">
        <v>90</v>
      </c>
      <c r="N37" s="134">
        <v>5872.13</v>
      </c>
      <c r="O37" s="95">
        <v>612.13</v>
      </c>
      <c r="P37" s="95"/>
      <c r="Q37" s="98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20"/>
      <c r="AD37" s="6"/>
      <c r="AE37" s="6"/>
      <c r="AF37" s="20"/>
    </row>
    <row r="38" spans="1:33" s="3" customFormat="1" ht="27" customHeight="1">
      <c r="A38" s="31">
        <v>5</v>
      </c>
      <c r="B38" s="10"/>
      <c r="C38" s="8" t="str">
        <f t="shared" si="25"/>
        <v>POLICIA DE LINEA</v>
      </c>
      <c r="D38" s="20">
        <f t="shared" si="22"/>
        <v>391.47533333333337</v>
      </c>
      <c r="E38" s="20">
        <f t="shared" si="22"/>
        <v>40.808666666666667</v>
      </c>
      <c r="F38" s="20">
        <f t="shared" si="23"/>
        <v>350.66666666666669</v>
      </c>
      <c r="G38" s="7"/>
      <c r="H38" s="84">
        <f t="shared" si="24"/>
        <v>391.47533333333337</v>
      </c>
      <c r="I38" s="84">
        <f t="shared" si="24"/>
        <v>40.808666666666667</v>
      </c>
      <c r="J38" s="86">
        <f t="shared" si="26"/>
        <v>350.66666666666669</v>
      </c>
      <c r="K38" s="134"/>
      <c r="L38" s="134" t="s">
        <v>218</v>
      </c>
      <c r="M38" s="134" t="s">
        <v>90</v>
      </c>
      <c r="N38" s="134">
        <v>5872.13</v>
      </c>
      <c r="O38" s="95">
        <v>612.13</v>
      </c>
      <c r="P38" s="98"/>
      <c r="Q38" s="98"/>
      <c r="R38" s="6"/>
      <c r="S38" s="6"/>
      <c r="T38" s="6"/>
      <c r="U38" s="6"/>
      <c r="V38" s="6"/>
      <c r="W38" s="6"/>
      <c r="X38" s="6"/>
      <c r="Y38" s="6"/>
      <c r="Z38" s="6"/>
      <c r="AA38" s="6"/>
      <c r="AB38" s="20"/>
      <c r="AC38" s="6"/>
      <c r="AD38" s="6"/>
      <c r="AE38" s="20"/>
    </row>
    <row r="39" spans="1:33" s="3" customFormat="1" ht="27" customHeight="1">
      <c r="A39" s="31">
        <v>6</v>
      </c>
      <c r="B39" s="10"/>
      <c r="C39" s="8" t="str">
        <f t="shared" si="25"/>
        <v>POLICIA DE LINEA</v>
      </c>
      <c r="D39" s="20">
        <f t="shared" si="22"/>
        <v>391.47533333333337</v>
      </c>
      <c r="E39" s="20">
        <f t="shared" si="22"/>
        <v>40.808666666666667</v>
      </c>
      <c r="F39" s="20">
        <f t="shared" si="23"/>
        <v>350.66666666666669</v>
      </c>
      <c r="G39" s="7"/>
      <c r="H39" s="84">
        <f t="shared" si="24"/>
        <v>391.47533333333337</v>
      </c>
      <c r="I39" s="84">
        <f t="shared" si="24"/>
        <v>40.808666666666667</v>
      </c>
      <c r="J39" s="86">
        <f t="shared" si="26"/>
        <v>350.66666666666669</v>
      </c>
      <c r="K39" s="134"/>
      <c r="L39" s="134" t="s">
        <v>219</v>
      </c>
      <c r="M39" s="134" t="s">
        <v>90</v>
      </c>
      <c r="N39" s="134">
        <v>5872.13</v>
      </c>
      <c r="O39" s="95">
        <v>612.13</v>
      </c>
      <c r="P39" s="98"/>
      <c r="Q39" s="98"/>
      <c r="R39" s="6"/>
      <c r="S39" s="6"/>
      <c r="T39" s="6"/>
      <c r="U39" s="6"/>
      <c r="V39" s="6"/>
      <c r="W39" s="6"/>
      <c r="X39" s="6"/>
      <c r="Y39" s="6"/>
      <c r="Z39" s="6"/>
      <c r="AA39" s="6"/>
      <c r="AB39" s="20"/>
      <c r="AC39" s="6"/>
      <c r="AD39" s="6"/>
      <c r="AE39" s="20"/>
    </row>
    <row r="40" spans="1:33" s="3" customFormat="1" ht="27" customHeight="1">
      <c r="A40" s="31">
        <v>7</v>
      </c>
      <c r="B40" s="10"/>
      <c r="C40" s="8" t="str">
        <f t="shared" si="25"/>
        <v>POLICIA DE LINEA</v>
      </c>
      <c r="D40" s="20">
        <f t="shared" si="22"/>
        <v>391.47533333333337</v>
      </c>
      <c r="E40" s="20">
        <f t="shared" si="22"/>
        <v>40.808666666666667</v>
      </c>
      <c r="F40" s="20">
        <f t="shared" si="23"/>
        <v>350.66666666666669</v>
      </c>
      <c r="G40" s="7"/>
      <c r="H40" s="84">
        <f t="shared" si="24"/>
        <v>391.47533333333337</v>
      </c>
      <c r="I40" s="84">
        <f t="shared" si="24"/>
        <v>40.808666666666667</v>
      </c>
      <c r="J40" s="86">
        <f t="shared" si="26"/>
        <v>350.66666666666669</v>
      </c>
      <c r="K40" s="134"/>
      <c r="L40" s="134" t="s">
        <v>205</v>
      </c>
      <c r="M40" s="134" t="s">
        <v>90</v>
      </c>
      <c r="N40" s="134">
        <v>5872.13</v>
      </c>
      <c r="O40" s="95">
        <v>612.13</v>
      </c>
      <c r="P40" s="98"/>
      <c r="Q40" s="98"/>
      <c r="R40" s="6"/>
      <c r="S40" s="6"/>
      <c r="T40" s="6"/>
      <c r="U40" s="6"/>
      <c r="V40" s="6"/>
      <c r="W40" s="6"/>
      <c r="X40" s="6"/>
      <c r="Y40" s="6"/>
      <c r="Z40" s="6"/>
      <c r="AA40" s="6"/>
      <c r="AB40" s="20"/>
      <c r="AC40" s="6"/>
      <c r="AD40" s="6"/>
      <c r="AE40" s="20"/>
    </row>
    <row r="41" spans="1:33" s="3" customFormat="1" ht="27" customHeight="1">
      <c r="A41" s="31">
        <v>8</v>
      </c>
      <c r="B41" s="10"/>
      <c r="C41" s="8" t="str">
        <f t="shared" si="25"/>
        <v>POLICIA DE LINEA</v>
      </c>
      <c r="D41" s="20">
        <f t="shared" si="22"/>
        <v>391.47533333333337</v>
      </c>
      <c r="E41" s="20">
        <f t="shared" si="22"/>
        <v>40.808666666666667</v>
      </c>
      <c r="F41" s="20">
        <f t="shared" si="23"/>
        <v>350.66666666666669</v>
      </c>
      <c r="G41" s="7"/>
      <c r="H41" s="84">
        <f t="shared" si="24"/>
        <v>391.47533333333337</v>
      </c>
      <c r="I41" s="84">
        <f t="shared" si="24"/>
        <v>40.808666666666667</v>
      </c>
      <c r="J41" s="86">
        <f t="shared" si="26"/>
        <v>350.66666666666669</v>
      </c>
      <c r="K41" s="142"/>
      <c r="L41" s="98" t="s">
        <v>99</v>
      </c>
      <c r="M41" s="134" t="s">
        <v>90</v>
      </c>
      <c r="N41" s="134">
        <v>5872.13</v>
      </c>
      <c r="O41" s="95">
        <v>612.13</v>
      </c>
      <c r="P41" s="98"/>
      <c r="Q41" s="98"/>
      <c r="R41" s="6"/>
      <c r="S41" s="6"/>
      <c r="T41" s="6"/>
      <c r="U41" s="6"/>
      <c r="V41" s="6"/>
      <c r="W41" s="6"/>
      <c r="X41" s="6"/>
      <c r="Y41" s="6"/>
      <c r="Z41" s="6"/>
      <c r="AA41" s="6"/>
      <c r="AB41" s="20"/>
      <c r="AC41" s="6"/>
      <c r="AD41" s="6"/>
      <c r="AE41" s="20"/>
    </row>
    <row r="42" spans="1:33" s="3" customFormat="1" ht="27" customHeight="1">
      <c r="A42" s="31">
        <v>9</v>
      </c>
      <c r="B42" s="10"/>
      <c r="C42" s="8" t="str">
        <f t="shared" si="25"/>
        <v>POLICIA DE LINEA</v>
      </c>
      <c r="D42" s="20">
        <f>H42*2</f>
        <v>782.95066666666673</v>
      </c>
      <c r="E42" s="20">
        <f>I42*2</f>
        <v>81.617333333333335</v>
      </c>
      <c r="F42" s="20">
        <f t="shared" si="23"/>
        <v>701.33333333333337</v>
      </c>
      <c r="G42" s="7"/>
      <c r="H42" s="84">
        <f t="shared" si="24"/>
        <v>391.47533333333337</v>
      </c>
      <c r="I42" s="84">
        <f t="shared" si="24"/>
        <v>40.808666666666667</v>
      </c>
      <c r="J42" s="86">
        <f t="shared" si="26"/>
        <v>350.66666666666669</v>
      </c>
      <c r="K42" s="142"/>
      <c r="L42" s="146" t="s">
        <v>159</v>
      </c>
      <c r="M42" s="134" t="s">
        <v>90</v>
      </c>
      <c r="N42" s="97">
        <v>5872.13</v>
      </c>
      <c r="O42" s="95">
        <v>612.13</v>
      </c>
      <c r="P42" s="98"/>
      <c r="Q42" s="98"/>
      <c r="R42" s="6"/>
      <c r="S42" s="6"/>
      <c r="T42" s="6"/>
      <c r="U42" s="6"/>
      <c r="V42" s="6"/>
      <c r="W42" s="6"/>
      <c r="X42" s="6"/>
      <c r="Y42" s="6"/>
      <c r="Z42" s="6"/>
      <c r="AA42" s="6"/>
      <c r="AB42" s="20"/>
      <c r="AC42" s="6"/>
      <c r="AD42" s="6"/>
      <c r="AE42" s="20"/>
    </row>
    <row r="43" spans="1:33" s="3" customFormat="1" ht="27" customHeight="1">
      <c r="A43" s="31"/>
      <c r="B43" s="10"/>
      <c r="C43" s="8"/>
      <c r="D43" s="20"/>
      <c r="E43" s="20"/>
      <c r="F43" s="20"/>
      <c r="G43" s="7"/>
      <c r="H43" s="84"/>
      <c r="I43" s="84"/>
      <c r="J43" s="157"/>
      <c r="K43" s="134"/>
      <c r="L43" s="134"/>
      <c r="M43" s="134"/>
      <c r="N43" s="97"/>
      <c r="O43" s="95"/>
      <c r="P43" s="95"/>
      <c r="Q43" s="98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20"/>
      <c r="AD43" s="6"/>
      <c r="AE43" s="6"/>
      <c r="AF43" s="20"/>
    </row>
    <row r="44" spans="1:33" s="3" customFormat="1" ht="27" customHeight="1">
      <c r="A44" s="31"/>
      <c r="B44" s="10"/>
      <c r="C44" s="67" t="s">
        <v>165</v>
      </c>
      <c r="D44" s="63">
        <f>SUM(D33:D43)</f>
        <v>3955.9053333333331</v>
      </c>
      <c r="E44" s="63">
        <f>SUM(E33:E43)</f>
        <v>416.57200000000012</v>
      </c>
      <c r="F44" s="63">
        <f>SUM(F33:F43)</f>
        <v>3539.3333333333335</v>
      </c>
      <c r="G44" s="7"/>
      <c r="H44" s="84"/>
      <c r="I44" s="84"/>
      <c r="J44" s="157"/>
      <c r="K44" s="134"/>
      <c r="L44" s="134"/>
      <c r="M44" s="134"/>
      <c r="N44" s="97"/>
      <c r="O44" s="95"/>
      <c r="P44" s="95"/>
      <c r="Q44" s="98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20"/>
      <c r="AD44" s="6"/>
      <c r="AE44" s="6"/>
      <c r="AF44" s="20"/>
    </row>
    <row r="45" spans="1:33" s="3" customFormat="1" ht="27" customHeight="1">
      <c r="A45" s="31"/>
      <c r="B45" s="10"/>
      <c r="C45" s="6"/>
      <c r="D45" s="20"/>
      <c r="E45" s="20"/>
      <c r="F45" s="20"/>
      <c r="G45" s="7"/>
      <c r="H45" s="84"/>
      <c r="I45" s="84"/>
      <c r="J45" s="157"/>
      <c r="K45" s="134"/>
      <c r="L45" s="134"/>
      <c r="M45" s="134"/>
      <c r="N45" s="97"/>
      <c r="O45" s="95"/>
      <c r="P45" s="95"/>
      <c r="Q45" s="98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20"/>
      <c r="AD45" s="6"/>
      <c r="AE45" s="6"/>
      <c r="AF45" s="20"/>
    </row>
    <row r="46" spans="1:33" s="3" customFormat="1" ht="27" customHeight="1">
      <c r="A46" s="31"/>
      <c r="B46" s="10" t="s">
        <v>243</v>
      </c>
      <c r="C46" s="6"/>
      <c r="D46" s="20"/>
      <c r="E46" s="20"/>
      <c r="F46" s="20"/>
      <c r="G46" s="7"/>
      <c r="H46" s="84"/>
      <c r="I46" s="84"/>
      <c r="J46" s="157"/>
      <c r="K46" s="134"/>
      <c r="L46" s="134"/>
      <c r="M46" s="134"/>
      <c r="N46" s="134"/>
      <c r="O46" s="95"/>
      <c r="P46" s="97"/>
      <c r="Q46" s="98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20"/>
      <c r="AE46" s="6"/>
      <c r="AF46" s="6"/>
      <c r="AG46" s="20"/>
    </row>
    <row r="47" spans="1:33" s="3" customFormat="1" ht="27" customHeight="1">
      <c r="A47" s="31"/>
      <c r="B47" s="10" t="str">
        <f>+B23</f>
        <v>IXTLAHUACAN DEL RIO JALISCO A 15 DE JULIO DE 2019</v>
      </c>
      <c r="C47" s="6"/>
      <c r="D47" s="20"/>
      <c r="E47" s="20"/>
      <c r="F47" s="20"/>
      <c r="G47" s="7"/>
      <c r="H47" s="84"/>
      <c r="I47" s="84"/>
      <c r="J47" s="157"/>
      <c r="K47" s="134"/>
      <c r="L47" s="134"/>
      <c r="M47" s="134"/>
      <c r="N47" s="134"/>
      <c r="O47" s="95"/>
      <c r="P47" s="97"/>
      <c r="Q47" s="98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20"/>
      <c r="AE47" s="6"/>
      <c r="AF47" s="6"/>
      <c r="AG47" s="20"/>
    </row>
    <row r="48" spans="1:33" s="3" customFormat="1" ht="27" customHeight="1">
      <c r="A48" s="31"/>
      <c r="B48" s="10"/>
      <c r="C48" s="6"/>
      <c r="D48" s="20"/>
      <c r="E48" s="20"/>
      <c r="F48" s="20"/>
      <c r="G48" s="7"/>
      <c r="H48" s="84"/>
      <c r="I48" s="84"/>
      <c r="J48" s="157"/>
      <c r="K48" s="134"/>
      <c r="L48" s="134"/>
      <c r="M48" s="134"/>
      <c r="N48" s="134"/>
      <c r="O48" s="95"/>
      <c r="P48" s="97"/>
      <c r="Q48" s="98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20"/>
      <c r="AE48" s="6"/>
      <c r="AF48" s="6"/>
      <c r="AG48" s="20"/>
    </row>
    <row r="49" spans="1:34" s="3" customFormat="1" ht="27" customHeight="1">
      <c r="A49" s="31"/>
      <c r="B49" s="10"/>
      <c r="C49" s="6"/>
      <c r="D49" s="20"/>
      <c r="E49" s="20"/>
      <c r="F49" s="20"/>
      <c r="G49" s="7"/>
      <c r="H49" s="84"/>
      <c r="I49" s="84"/>
      <c r="J49" s="157"/>
      <c r="K49" s="134"/>
      <c r="L49" s="134"/>
      <c r="M49" s="134"/>
      <c r="N49" s="134"/>
      <c r="O49" s="95"/>
      <c r="P49" s="97"/>
      <c r="Q49" s="98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20"/>
      <c r="AE49" s="6"/>
      <c r="AF49" s="6"/>
      <c r="AG49" s="20"/>
    </row>
    <row r="50" spans="1:34" s="3" customFormat="1" ht="27" customHeight="1">
      <c r="A50" s="31"/>
      <c r="B50" s="10"/>
      <c r="C50" s="6"/>
      <c r="D50" s="20"/>
      <c r="E50" s="20"/>
      <c r="F50" s="20"/>
      <c r="G50" s="7"/>
      <c r="H50" s="84"/>
      <c r="I50" s="84"/>
      <c r="J50" s="157"/>
      <c r="K50" s="134"/>
      <c r="L50" s="134"/>
      <c r="M50" s="134"/>
      <c r="N50" s="134"/>
      <c r="O50" s="97"/>
      <c r="P50" s="134"/>
      <c r="Q50" s="95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20"/>
      <c r="AF50" s="6"/>
      <c r="AG50" s="6"/>
      <c r="AH50" s="20"/>
    </row>
    <row r="51" spans="1:34" s="3" customFormat="1" ht="27" customHeight="1">
      <c r="A51" s="9"/>
      <c r="B51" s="10"/>
      <c r="C51" s="26"/>
      <c r="D51" s="4"/>
      <c r="E51" s="4"/>
      <c r="F51" s="4"/>
      <c r="G51" s="7"/>
      <c r="H51" s="84"/>
      <c r="I51" s="91"/>
      <c r="J51" s="157"/>
      <c r="K51" s="87"/>
      <c r="L51" s="110"/>
      <c r="M51" s="118"/>
      <c r="N51" s="118"/>
      <c r="O51" s="131"/>
      <c r="P51" s="118"/>
      <c r="Q51" s="9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20"/>
      <c r="AF51" s="6"/>
      <c r="AG51" s="6"/>
      <c r="AH51" s="20"/>
    </row>
    <row r="52" spans="1:34" s="3" customFormat="1" ht="27" customHeight="1">
      <c r="A52" s="9"/>
      <c r="B52" s="10"/>
      <c r="C52" s="26"/>
      <c r="D52" s="32"/>
      <c r="E52" s="32"/>
      <c r="F52" s="32"/>
      <c r="G52" s="7"/>
      <c r="H52" s="84"/>
      <c r="I52" s="91"/>
      <c r="J52" s="157"/>
      <c r="K52" s="87"/>
      <c r="L52" s="110"/>
      <c r="M52" s="118"/>
      <c r="N52" s="118"/>
      <c r="O52" s="131"/>
      <c r="P52" s="118"/>
      <c r="Q52" s="95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20"/>
      <c r="AF52" s="6"/>
      <c r="AG52" s="6"/>
      <c r="AH52" s="20"/>
    </row>
    <row r="53" spans="1:34" s="3" customFormat="1" ht="27" customHeight="1">
      <c r="A53" s="9"/>
      <c r="C53" s="30"/>
      <c r="D53" s="4"/>
      <c r="E53" s="4"/>
      <c r="F53" s="4"/>
      <c r="G53" s="7" t="s">
        <v>18</v>
      </c>
      <c r="H53" s="84"/>
      <c r="I53" s="91"/>
      <c r="J53" s="157">
        <f>SUM(H53-I53)</f>
        <v>0</v>
      </c>
      <c r="K53" s="87"/>
      <c r="L53" s="110"/>
      <c r="M53" s="118"/>
      <c r="N53" s="120"/>
      <c r="O53" s="131"/>
      <c r="P53" s="131"/>
      <c r="Q53" s="9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20"/>
      <c r="AF53" s="6"/>
      <c r="AG53" s="6"/>
      <c r="AH53" s="20"/>
    </row>
    <row r="54" spans="1:34" s="3" customFormat="1" ht="27" customHeight="1">
      <c r="A54" s="9"/>
      <c r="C54" s="26"/>
      <c r="D54" s="4"/>
      <c r="E54" s="4"/>
      <c r="F54" s="4"/>
      <c r="G54" s="7" t="s">
        <v>18</v>
      </c>
      <c r="H54" s="84"/>
      <c r="I54" s="91"/>
      <c r="J54" s="157">
        <f>SUM(H54-I54)</f>
        <v>0</v>
      </c>
      <c r="K54" s="87"/>
      <c r="L54" s="109"/>
      <c r="M54" s="95"/>
      <c r="N54" s="117"/>
      <c r="O54" s="131"/>
      <c r="P54" s="131"/>
      <c r="Q54" s="95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20"/>
      <c r="AF54" s="6"/>
      <c r="AG54" s="6"/>
      <c r="AH54" s="20"/>
    </row>
    <row r="55" spans="1:34" s="3" customFormat="1" ht="27" customHeight="1">
      <c r="A55" s="9"/>
      <c r="B55" s="10"/>
      <c r="C55" s="26"/>
      <c r="D55" s="28"/>
      <c r="E55" s="28"/>
      <c r="F55" s="21"/>
      <c r="G55" s="7" t="s">
        <v>18</v>
      </c>
      <c r="H55" s="91"/>
      <c r="I55" s="91"/>
      <c r="J55" s="157"/>
      <c r="K55" s="98"/>
      <c r="L55" s="98"/>
      <c r="M55" s="95"/>
      <c r="N55" s="117"/>
      <c r="O55" s="131"/>
      <c r="P55" s="131"/>
      <c r="Q55" s="95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20"/>
      <c r="AF55" s="6"/>
      <c r="AG55" s="6"/>
      <c r="AH55" s="20"/>
    </row>
    <row r="63" spans="1:34" ht="27" customHeight="1">
      <c r="D63" s="20"/>
      <c r="E63" s="20"/>
      <c r="F63" s="20"/>
    </row>
    <row r="64" spans="1:34" ht="27" customHeight="1">
      <c r="D64" s="20"/>
      <c r="E64" s="20"/>
      <c r="F64" s="20"/>
    </row>
    <row r="65" spans="3:6" ht="27" customHeight="1">
      <c r="D65" s="20"/>
      <c r="E65" s="20"/>
      <c r="F65" s="20"/>
    </row>
    <row r="66" spans="3:6" ht="27" customHeight="1">
      <c r="D66" s="20"/>
      <c r="E66" s="20"/>
      <c r="F66" s="20"/>
    </row>
    <row r="67" spans="3:6" ht="27" customHeight="1">
      <c r="C67" s="62"/>
      <c r="D67" s="63"/>
      <c r="E67" s="63"/>
      <c r="F67" s="63"/>
    </row>
  </sheetData>
  <mergeCells count="8">
    <mergeCell ref="A31:G31"/>
    <mergeCell ref="A32:G32"/>
    <mergeCell ref="A1:G1"/>
    <mergeCell ref="A2:G2"/>
    <mergeCell ref="A3:G3"/>
    <mergeCell ref="A4:G4"/>
    <mergeCell ref="A29:G29"/>
    <mergeCell ref="A30:G30"/>
  </mergeCells>
  <pageMargins left="0.23622047244094491" right="0.23622047244094491" top="0.74803149606299213" bottom="0.74803149606299213" header="0.31496062992125984" footer="0.31496062992125984"/>
  <pageSetup scale="4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5"/>
  <sheetViews>
    <sheetView zoomScale="80" zoomScaleNormal="80" workbookViewId="0">
      <selection activeCell="B41" sqref="B41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40.7109375" style="30" bestFit="1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37" style="6" customWidth="1"/>
    <col min="8" max="8" width="11.5703125" style="84" bestFit="1" customWidth="1"/>
    <col min="9" max="9" width="9.5703125" style="91" customWidth="1"/>
    <col min="10" max="10" width="17.5703125" style="86" customWidth="1"/>
    <col min="11" max="11" width="16.7109375" style="87" customWidth="1"/>
    <col min="12" max="12" width="23.42578125" style="109" customWidth="1"/>
    <col min="13" max="13" width="9.7109375" style="95" customWidth="1"/>
    <col min="14" max="14" width="10.140625" style="117" bestFit="1" customWidth="1"/>
    <col min="15" max="16" width="8.140625" style="131" bestFit="1" customWidth="1"/>
    <col min="17" max="17" width="11.7109375" style="2" customWidth="1"/>
    <col min="18" max="18" width="6.85546875" style="6" customWidth="1"/>
    <col min="19" max="19" width="13.85546875" style="6" customWidth="1"/>
    <col min="20" max="20" width="11.7109375" style="6" customWidth="1"/>
    <col min="21" max="21" width="43.42578125" style="6" customWidth="1"/>
    <col min="22" max="30" width="11.7109375" style="6" customWidth="1"/>
    <col min="31" max="31" width="11.7109375" style="20" customWidth="1"/>
    <col min="32" max="33" width="11.7109375" style="6" customWidth="1"/>
    <col min="34" max="34" width="11.7109375" style="20" customWidth="1"/>
    <col min="35" max="35" width="11.7109375" style="6" customWidth="1"/>
    <col min="36" max="36" width="2.28515625" style="6" customWidth="1"/>
    <col min="37" max="37" width="15.5703125" style="6" customWidth="1"/>
    <col min="38" max="38" width="11.42578125" style="6" customWidth="1"/>
    <col min="39" max="39" width="11.42578125" style="6"/>
    <col min="40" max="40" width="11.42578125" style="6" customWidth="1"/>
    <col min="41" max="41" width="42.28515625" style="6" customWidth="1"/>
    <col min="42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153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221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ht="27" customHeight="1">
      <c r="A7" s="31">
        <v>1</v>
      </c>
      <c r="B7" s="10" t="str">
        <f>+L7</f>
        <v xml:space="preserve">PINTO GONNZALEZ L.N MARIA DE LA LUZ  </v>
      </c>
      <c r="C7" s="6" t="str">
        <f>+M7</f>
        <v>JEFE DE DEPARTAMENTO DEL REGISTRO CIVIL</v>
      </c>
      <c r="D7" s="66">
        <f>H7*5</f>
        <v>1820</v>
      </c>
      <c r="E7" s="20">
        <f>I7*5</f>
        <v>173.2</v>
      </c>
      <c r="F7" s="20">
        <f>D7-E7</f>
        <v>1646.8</v>
      </c>
      <c r="G7" s="24" t="s">
        <v>18</v>
      </c>
      <c r="H7" s="84">
        <f>364*1</f>
        <v>364</v>
      </c>
      <c r="I7" s="91">
        <f>34.64*1</f>
        <v>34.64</v>
      </c>
      <c r="J7" s="86">
        <f t="shared" ref="J7" si="0">SUM(H7-I7)</f>
        <v>329.36</v>
      </c>
      <c r="L7" s="134" t="s">
        <v>155</v>
      </c>
      <c r="M7" s="134" t="s">
        <v>26</v>
      </c>
      <c r="N7" s="135">
        <v>8714.74</v>
      </c>
      <c r="O7" s="138">
        <v>1214.74</v>
      </c>
      <c r="P7" s="138">
        <v>0</v>
      </c>
      <c r="R7" s="2"/>
      <c r="S7" s="3"/>
      <c r="AC7" s="20"/>
      <c r="AE7" s="6"/>
      <c r="AF7" s="20"/>
      <c r="AH7" s="6"/>
    </row>
    <row r="8" spans="1:35" ht="27" customHeight="1">
      <c r="A8" s="31">
        <v>2</v>
      </c>
      <c r="B8" s="8" t="str">
        <f t="shared" ref="B8:C12" si="1">+L8</f>
        <v xml:space="preserve">ALVAREZ DEL CASTILLO SANCHEZ JORGE ENRIQUE </v>
      </c>
      <c r="C8" s="6" t="str">
        <f t="shared" si="1"/>
        <v>CHOFER DE CAMION ESCOLAR</v>
      </c>
      <c r="D8" s="20">
        <f>H8*3.67804818243</f>
        <v>1090.0999203086035</v>
      </c>
      <c r="E8" s="20">
        <f>I8*3.67804818243</f>
        <v>90.099920308926897</v>
      </c>
      <c r="F8" s="20">
        <f t="shared" ref="F8:F14" si="2">D8-E8</f>
        <v>999.99999999967656</v>
      </c>
      <c r="G8" s="24"/>
      <c r="H8" s="84">
        <f t="shared" ref="H8:I14" si="3">+N8/15</f>
        <v>296.38</v>
      </c>
      <c r="I8" s="84">
        <f t="shared" ref="I8:I14" si="4">+P8/15</f>
        <v>24.496666666666666</v>
      </c>
      <c r="J8" s="150">
        <f t="shared" ref="J8:J10" si="5">+H8-I8</f>
        <v>271.88333333333333</v>
      </c>
      <c r="K8" s="142"/>
      <c r="L8" s="154" t="s">
        <v>127</v>
      </c>
      <c r="M8" s="148" t="s">
        <v>128</v>
      </c>
      <c r="N8" s="141">
        <v>4445.7</v>
      </c>
      <c r="O8" s="138">
        <v>0</v>
      </c>
      <c r="P8" s="138">
        <v>367.45</v>
      </c>
      <c r="R8" s="2"/>
      <c r="S8" s="3"/>
      <c r="AC8" s="20"/>
      <c r="AE8" s="6"/>
      <c r="AF8" s="20"/>
      <c r="AH8" s="6"/>
    </row>
    <row r="9" spans="1:35" s="3" customFormat="1" ht="27" customHeight="1">
      <c r="A9" s="31">
        <v>3</v>
      </c>
      <c r="B9" s="10" t="str">
        <f t="shared" si="1"/>
        <v xml:space="preserve">CORONA OLVERA SALVADOR </v>
      </c>
      <c r="C9" s="6" t="str">
        <f t="shared" si="1"/>
        <v>CHOFER DE CAMION ESCOLAR</v>
      </c>
      <c r="D9" s="20">
        <f>H9*6.20089664965</f>
        <v>2214.9602832549799</v>
      </c>
      <c r="E9" s="20">
        <f>I9*6.20089664965</f>
        <v>214.96028325676693</v>
      </c>
      <c r="F9" s="20">
        <f t="shared" si="2"/>
        <v>1999.9999999982131</v>
      </c>
      <c r="G9" s="24"/>
      <c r="H9" s="84">
        <f t="shared" si="3"/>
        <v>357.2</v>
      </c>
      <c r="I9" s="84">
        <f t="shared" si="4"/>
        <v>34.666000000000004</v>
      </c>
      <c r="J9" s="151">
        <f t="shared" si="5"/>
        <v>322.53399999999999</v>
      </c>
      <c r="K9" s="142"/>
      <c r="L9" s="98" t="s">
        <v>134</v>
      </c>
      <c r="M9" s="155" t="s">
        <v>128</v>
      </c>
      <c r="N9" s="134">
        <v>5358</v>
      </c>
      <c r="O9" s="134">
        <v>0</v>
      </c>
      <c r="P9" s="97">
        <v>519.99</v>
      </c>
      <c r="Q9" s="2"/>
      <c r="R9" s="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0"/>
      <c r="AG9" s="6"/>
      <c r="AH9" s="6"/>
      <c r="AI9" s="20"/>
    </row>
    <row r="10" spans="1:35" s="3" customFormat="1" ht="27" customHeight="1">
      <c r="A10" s="31">
        <v>4</v>
      </c>
      <c r="B10" s="10" t="s">
        <v>176</v>
      </c>
      <c r="C10" s="6" t="str">
        <f t="shared" si="1"/>
        <v>MEDICO B</v>
      </c>
      <c r="D10" s="20">
        <f>H10*12</f>
        <v>6971.7919999999995</v>
      </c>
      <c r="E10" s="20">
        <f>I10*12</f>
        <v>971.79200000000014</v>
      </c>
      <c r="F10" s="20">
        <f t="shared" si="2"/>
        <v>5999.9999999999991</v>
      </c>
      <c r="G10" s="24"/>
      <c r="H10" s="84">
        <f t="shared" si="3"/>
        <v>580.98266666666666</v>
      </c>
      <c r="I10" s="84">
        <f t="shared" si="3"/>
        <v>80.982666666666674</v>
      </c>
      <c r="J10" s="86">
        <f t="shared" si="5"/>
        <v>500</v>
      </c>
      <c r="K10" s="134"/>
      <c r="L10" s="134" t="s">
        <v>156</v>
      </c>
      <c r="M10" s="134" t="s">
        <v>146</v>
      </c>
      <c r="N10" s="97">
        <v>8714.74</v>
      </c>
      <c r="O10" s="95">
        <v>1214.74</v>
      </c>
      <c r="P10" s="95">
        <v>1214.74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20"/>
      <c r="AD10" s="6"/>
      <c r="AE10" s="6"/>
      <c r="AF10" s="20"/>
    </row>
    <row r="11" spans="1:35" s="3" customFormat="1" ht="27" customHeight="1">
      <c r="A11" s="31">
        <v>5</v>
      </c>
      <c r="B11" s="10" t="str">
        <f t="shared" si="1"/>
        <v xml:space="preserve">MARTINEZ GONZALEZ HECTOR MIGUEL </v>
      </c>
      <c r="C11" s="6" t="str">
        <f t="shared" si="1"/>
        <v>CHOFER DE CAMION ESCOLAR</v>
      </c>
      <c r="D11" s="20">
        <f>H11*3.02402283742</f>
        <v>1110.2135363324546</v>
      </c>
      <c r="E11" s="20">
        <f>I11*3.02402283742</f>
        <v>110.21353633260934</v>
      </c>
      <c r="F11" s="20">
        <f t="shared" si="2"/>
        <v>999.99999999984527</v>
      </c>
      <c r="G11" s="24"/>
      <c r="H11" s="84">
        <f t="shared" si="3"/>
        <v>367.13133333333337</v>
      </c>
      <c r="I11" s="84">
        <f t="shared" si="4"/>
        <v>36.446000000000005</v>
      </c>
      <c r="J11" s="150">
        <f t="shared" ref="J11:J12" si="6">+H11-I11</f>
        <v>330.68533333333335</v>
      </c>
      <c r="K11" s="142"/>
      <c r="L11" s="98" t="s">
        <v>141</v>
      </c>
      <c r="M11" s="148" t="s">
        <v>128</v>
      </c>
      <c r="N11" s="134">
        <v>5506.97</v>
      </c>
      <c r="O11" s="134">
        <v>0</v>
      </c>
      <c r="P11" s="134">
        <v>546.69000000000005</v>
      </c>
      <c r="Q11" s="2"/>
      <c r="R11" s="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0"/>
      <c r="AG11" s="6"/>
      <c r="AH11" s="6"/>
      <c r="AI11" s="20"/>
    </row>
    <row r="12" spans="1:35" s="3" customFormat="1" ht="27" customHeight="1">
      <c r="A12" s="31">
        <v>6</v>
      </c>
      <c r="B12" s="10" t="str">
        <f t="shared" si="1"/>
        <v xml:space="preserve">RAMIREZ MEDINA SAMUEL </v>
      </c>
      <c r="C12" s="6" t="str">
        <f t="shared" si="1"/>
        <v>INTENDENTE C SAN ANTONIO</v>
      </c>
      <c r="D12" s="20">
        <f>H12*3</f>
        <v>383.72199999999998</v>
      </c>
      <c r="E12" s="20">
        <f>I12*3</f>
        <v>0</v>
      </c>
      <c r="F12" s="20">
        <f t="shared" si="2"/>
        <v>383.72199999999998</v>
      </c>
      <c r="G12" s="24"/>
      <c r="H12" s="84">
        <f t="shared" si="3"/>
        <v>127.90733333333333</v>
      </c>
      <c r="I12" s="84">
        <f t="shared" si="4"/>
        <v>0</v>
      </c>
      <c r="J12" s="86">
        <f t="shared" si="6"/>
        <v>127.90733333333333</v>
      </c>
      <c r="K12" s="142"/>
      <c r="L12" s="146" t="s">
        <v>222</v>
      </c>
      <c r="M12" s="148" t="s">
        <v>223</v>
      </c>
      <c r="N12" s="134">
        <v>1918.61</v>
      </c>
      <c r="O12" s="134">
        <v>81.39</v>
      </c>
      <c r="P12" s="134"/>
      <c r="Q12" s="2"/>
      <c r="R12" s="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0"/>
      <c r="AG12" s="6"/>
      <c r="AH12" s="6"/>
      <c r="AI12" s="20"/>
    </row>
    <row r="13" spans="1:35" s="3" customFormat="1" ht="27" customHeight="1">
      <c r="A13" s="31">
        <v>7</v>
      </c>
      <c r="B13" s="10" t="str">
        <f t="shared" ref="B13:C14" si="7">+L13</f>
        <v xml:space="preserve">MERCADO SANCHEZ JAVIER </v>
      </c>
      <c r="C13" s="6" t="str">
        <f t="shared" si="7"/>
        <v>CHOFER TRACTO CAMION KEENGORTH</v>
      </c>
      <c r="D13" s="20">
        <f>H13*0.80342</f>
        <v>337.43639999999999</v>
      </c>
      <c r="E13" s="20">
        <f>I13*0.8034</f>
        <v>37.435762000000004</v>
      </c>
      <c r="F13" s="20">
        <f t="shared" si="2"/>
        <v>300.00063799999998</v>
      </c>
      <c r="G13" s="24"/>
      <c r="H13" s="84">
        <f t="shared" si="3"/>
        <v>420</v>
      </c>
      <c r="I13" s="84">
        <f t="shared" si="4"/>
        <v>46.596666666666671</v>
      </c>
      <c r="J13" s="153">
        <f t="shared" ref="J13:J14" si="8">+H13-I13</f>
        <v>373.40333333333331</v>
      </c>
      <c r="K13" s="142"/>
      <c r="L13" s="146" t="s">
        <v>195</v>
      </c>
      <c r="M13" s="148" t="s">
        <v>196</v>
      </c>
      <c r="N13" s="134">
        <v>6300</v>
      </c>
      <c r="O13" s="134"/>
      <c r="P13" s="134">
        <v>698.95</v>
      </c>
      <c r="Q13" s="2"/>
      <c r="R13" s="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0"/>
      <c r="AG13" s="6"/>
      <c r="AH13" s="6"/>
      <c r="AI13" s="20"/>
    </row>
    <row r="14" spans="1:35" s="3" customFormat="1" ht="27" customHeight="1">
      <c r="A14" s="31">
        <v>8</v>
      </c>
      <c r="B14" s="10" t="str">
        <f t="shared" si="7"/>
        <v>TORRES VAZQUEZ OSCAR</v>
      </c>
      <c r="C14" s="6" t="str">
        <f t="shared" si="7"/>
        <v>CHOFER VOLTEO VOLVO ROJO 14M3</v>
      </c>
      <c r="D14" s="20">
        <f>H14*0.98</f>
        <v>330.51479999999998</v>
      </c>
      <c r="E14" s="20">
        <f>I14*0.98+0.04</f>
        <v>30.511466666666664</v>
      </c>
      <c r="F14" s="20">
        <f t="shared" si="2"/>
        <v>300.00333333333333</v>
      </c>
      <c r="G14" s="24"/>
      <c r="H14" s="84">
        <f t="shared" si="3"/>
        <v>337.26</v>
      </c>
      <c r="I14" s="84">
        <f t="shared" si="4"/>
        <v>31.09333333333333</v>
      </c>
      <c r="J14" s="151">
        <f t="shared" si="8"/>
        <v>306.16666666666669</v>
      </c>
      <c r="K14" s="142"/>
      <c r="L14" s="146" t="s">
        <v>199</v>
      </c>
      <c r="M14" s="148" t="s">
        <v>200</v>
      </c>
      <c r="N14" s="134">
        <v>5058.8999999999996</v>
      </c>
      <c r="O14" s="134"/>
      <c r="P14" s="97">
        <v>466.4</v>
      </c>
      <c r="Q14" s="2"/>
      <c r="R14" s="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0"/>
      <c r="AG14" s="6"/>
      <c r="AH14" s="6"/>
      <c r="AI14" s="20"/>
    </row>
    <row r="15" spans="1:35" s="3" customFormat="1" ht="27" customHeight="1">
      <c r="A15" s="31"/>
      <c r="B15" s="10"/>
      <c r="C15" s="6"/>
      <c r="D15" s="20"/>
      <c r="E15" s="20"/>
      <c r="F15" s="20"/>
      <c r="G15" s="24"/>
      <c r="H15" s="84"/>
      <c r="I15" s="91"/>
      <c r="J15" s="86"/>
      <c r="K15" s="134"/>
      <c r="L15" s="134"/>
      <c r="M15" s="134"/>
      <c r="N15" s="97"/>
      <c r="O15" s="95"/>
      <c r="P15" s="95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20"/>
      <c r="AD15" s="6"/>
      <c r="AE15" s="6"/>
      <c r="AF15" s="20"/>
    </row>
    <row r="16" spans="1:35" s="3" customFormat="1" ht="27" customHeight="1">
      <c r="A16" s="31"/>
      <c r="B16" s="10"/>
      <c r="C16" s="67" t="s">
        <v>165</v>
      </c>
      <c r="D16" s="63">
        <f>SUM(D7:D15)</f>
        <v>14258.738939896039</v>
      </c>
      <c r="E16" s="63">
        <f t="shared" ref="E16:F16" si="9">SUM(E7:E15)</f>
        <v>1628.21296856497</v>
      </c>
      <c r="F16" s="63">
        <f t="shared" si="9"/>
        <v>12630.525971331068</v>
      </c>
      <c r="G16" s="24"/>
      <c r="H16" s="84"/>
      <c r="I16" s="84"/>
      <c r="J16" s="86"/>
      <c r="K16" s="134"/>
      <c r="L16" s="134"/>
      <c r="M16" s="134"/>
      <c r="N16" s="97"/>
      <c r="O16" s="95"/>
      <c r="P16" s="95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20"/>
      <c r="AD16" s="6"/>
      <c r="AE16" s="6"/>
      <c r="AF16" s="20"/>
    </row>
    <row r="17" spans="1:32" s="3" customFormat="1" ht="27" customHeight="1">
      <c r="A17" s="31"/>
      <c r="B17" s="10" t="s">
        <v>224</v>
      </c>
      <c r="C17" s="6"/>
      <c r="D17" s="20"/>
      <c r="E17" s="20"/>
      <c r="F17" s="20"/>
      <c r="G17" s="24"/>
      <c r="H17" s="84"/>
      <c r="I17" s="84"/>
      <c r="J17" s="86"/>
      <c r="K17" s="134"/>
      <c r="L17" s="134"/>
      <c r="M17" s="134"/>
      <c r="N17" s="134"/>
      <c r="O17" s="95"/>
      <c r="P17" s="95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20"/>
      <c r="AD17" s="6"/>
      <c r="AE17" s="6"/>
      <c r="AF17" s="20"/>
    </row>
    <row r="18" spans="1:32" s="3" customFormat="1" ht="27" customHeight="1">
      <c r="A18" s="31"/>
      <c r="B18" s="10" t="s">
        <v>225</v>
      </c>
      <c r="C18" s="6"/>
      <c r="D18" s="20"/>
      <c r="E18" s="20"/>
      <c r="F18" s="20"/>
      <c r="G18" s="24"/>
      <c r="H18" s="84"/>
      <c r="I18" s="84"/>
      <c r="J18" s="86"/>
      <c r="K18" s="134"/>
      <c r="L18" s="134"/>
      <c r="M18" s="134"/>
      <c r="N18" s="134"/>
      <c r="O18" s="95"/>
      <c r="P18" s="95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20"/>
      <c r="AD18" s="6"/>
      <c r="AE18" s="6"/>
      <c r="AF18" s="20"/>
    </row>
    <row r="19" spans="1:32" s="3" customFormat="1" ht="27" customHeight="1">
      <c r="A19" s="31"/>
      <c r="B19" s="10"/>
      <c r="C19" s="6"/>
      <c r="D19" s="20"/>
      <c r="E19" s="20"/>
      <c r="F19" s="20"/>
      <c r="G19" s="24"/>
      <c r="H19" s="84"/>
      <c r="I19" s="84"/>
      <c r="J19" s="86"/>
      <c r="K19" s="134"/>
      <c r="L19" s="134"/>
      <c r="M19" s="134"/>
      <c r="N19" s="134"/>
      <c r="O19" s="95"/>
      <c r="P19" s="95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20"/>
      <c r="AD19" s="6"/>
      <c r="AE19" s="6"/>
      <c r="AF19" s="20"/>
    </row>
    <row r="20" spans="1:32" s="3" customFormat="1" ht="27" customHeight="1">
      <c r="A20" s="31"/>
      <c r="B20" s="10"/>
      <c r="C20" s="6"/>
      <c r="D20" s="20"/>
      <c r="E20" s="20"/>
      <c r="F20" s="20"/>
      <c r="G20" s="24"/>
      <c r="H20" s="84"/>
      <c r="I20" s="84"/>
      <c r="J20" s="86"/>
      <c r="K20" s="134"/>
      <c r="L20" s="134"/>
      <c r="M20" s="134"/>
      <c r="N20" s="134"/>
      <c r="O20" s="95"/>
      <c r="P20" s="95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20"/>
      <c r="AD20" s="6"/>
      <c r="AE20" s="6"/>
      <c r="AF20" s="20"/>
    </row>
    <row r="21" spans="1:32" s="3" customFormat="1" ht="27" customHeight="1">
      <c r="A21" s="31"/>
      <c r="B21" s="10"/>
      <c r="C21" s="6"/>
      <c r="D21" s="20"/>
      <c r="E21" s="20"/>
      <c r="F21" s="20"/>
      <c r="G21" s="24"/>
      <c r="H21" s="84"/>
      <c r="I21" s="84"/>
      <c r="J21" s="86"/>
      <c r="K21" s="134"/>
      <c r="L21" s="134"/>
      <c r="M21" s="134"/>
      <c r="N21" s="134"/>
      <c r="O21" s="95"/>
      <c r="P21" s="95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20"/>
      <c r="AD21" s="6"/>
      <c r="AE21" s="6"/>
      <c r="AF21" s="20"/>
    </row>
    <row r="22" spans="1:32" s="3" customFormat="1" ht="27" customHeight="1">
      <c r="A22" s="31"/>
      <c r="B22" s="10"/>
      <c r="C22" s="6"/>
      <c r="D22" s="20"/>
      <c r="E22" s="20"/>
      <c r="F22" s="20"/>
      <c r="G22" s="24"/>
      <c r="H22" s="84"/>
      <c r="I22" s="84"/>
      <c r="J22" s="86"/>
      <c r="K22" s="134"/>
      <c r="L22" s="134"/>
      <c r="M22" s="134"/>
      <c r="N22" s="134"/>
      <c r="O22" s="95"/>
      <c r="P22" s="95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20"/>
      <c r="AD22" s="6"/>
      <c r="AE22" s="6"/>
      <c r="AF22" s="20"/>
    </row>
    <row r="23" spans="1:32" s="3" customFormat="1" ht="27" customHeight="1">
      <c r="A23" s="31"/>
      <c r="B23" s="10"/>
      <c r="C23" s="6"/>
      <c r="D23" s="20"/>
      <c r="E23" s="20"/>
      <c r="F23" s="20"/>
      <c r="G23" s="24"/>
      <c r="H23" s="84"/>
      <c r="I23" s="84"/>
      <c r="J23" s="86"/>
      <c r="K23" s="134"/>
      <c r="L23" s="134"/>
      <c r="M23" s="134"/>
      <c r="N23" s="134"/>
      <c r="O23" s="95"/>
      <c r="P23" s="95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20"/>
      <c r="AD23" s="6"/>
      <c r="AE23" s="6"/>
      <c r="AF23" s="20"/>
    </row>
    <row r="24" spans="1:32" s="3" customFormat="1" ht="27" customHeight="1">
      <c r="A24" s="241" t="s">
        <v>24</v>
      </c>
      <c r="B24" s="242"/>
      <c r="C24" s="242"/>
      <c r="D24" s="242"/>
      <c r="E24" s="242"/>
      <c r="F24" s="242"/>
      <c r="G24" s="243"/>
      <c r="H24" s="84"/>
      <c r="I24" s="84"/>
      <c r="J24" s="86"/>
      <c r="K24" s="134"/>
      <c r="L24" s="134"/>
      <c r="M24" s="134"/>
      <c r="N24" s="134"/>
      <c r="O24" s="95"/>
      <c r="P24" s="95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20"/>
      <c r="AD24" s="6"/>
      <c r="AE24" s="6"/>
      <c r="AF24" s="20"/>
    </row>
    <row r="25" spans="1:32" s="3" customFormat="1" ht="27" customHeight="1">
      <c r="A25" s="241" t="s">
        <v>153</v>
      </c>
      <c r="B25" s="242"/>
      <c r="C25" s="242"/>
      <c r="D25" s="242"/>
      <c r="E25" s="242"/>
      <c r="F25" s="242"/>
      <c r="G25" s="243"/>
      <c r="H25" s="84"/>
      <c r="I25" s="84"/>
      <c r="J25" s="86"/>
      <c r="K25" s="134"/>
      <c r="L25" s="134"/>
      <c r="M25" s="134"/>
      <c r="N25" s="134"/>
      <c r="O25" s="95"/>
      <c r="P25" s="95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20"/>
      <c r="AD25" s="6"/>
      <c r="AE25" s="6"/>
      <c r="AF25" s="20"/>
    </row>
    <row r="26" spans="1:32" s="3" customFormat="1" ht="27" customHeight="1">
      <c r="A26" s="241" t="str">
        <f>+A3</f>
        <v xml:space="preserve">AYUNTAMIENTO Y QUE  CORRESPONDEN A LA SEGUNDA  QUINCENA DE JUNIO DE 2019 </v>
      </c>
      <c r="B26" s="242"/>
      <c r="C26" s="242"/>
      <c r="D26" s="242"/>
      <c r="E26" s="242"/>
      <c r="F26" s="242"/>
      <c r="G26" s="243"/>
      <c r="H26" s="84"/>
      <c r="I26" s="84"/>
      <c r="J26" s="86"/>
      <c r="K26" s="134"/>
      <c r="L26" s="134"/>
      <c r="M26" s="134"/>
      <c r="N26" s="134"/>
      <c r="O26" s="95"/>
      <c r="P26" s="95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20"/>
      <c r="AD26" s="6"/>
      <c r="AE26" s="6"/>
      <c r="AF26" s="20"/>
    </row>
    <row r="27" spans="1:32" s="3" customFormat="1" ht="27" customHeight="1">
      <c r="A27" s="241" t="s">
        <v>27</v>
      </c>
      <c r="B27" s="242"/>
      <c r="C27" s="242"/>
      <c r="D27" s="242"/>
      <c r="E27" s="242"/>
      <c r="F27" s="242"/>
      <c r="G27" s="243"/>
      <c r="H27" s="84"/>
      <c r="I27" s="84"/>
      <c r="J27" s="86"/>
      <c r="K27" s="134"/>
      <c r="L27" s="134"/>
      <c r="M27" s="134"/>
      <c r="N27" s="134"/>
      <c r="O27" s="95"/>
      <c r="P27" s="95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20"/>
      <c r="AD27" s="6"/>
      <c r="AE27" s="6"/>
      <c r="AF27" s="20"/>
    </row>
    <row r="28" spans="1:32" s="3" customFormat="1" ht="27" customHeight="1">
      <c r="A28" s="31"/>
      <c r="B28" s="10"/>
      <c r="C28" s="8"/>
      <c r="D28" s="20"/>
      <c r="E28" s="20"/>
      <c r="F28" s="20"/>
      <c r="G28" s="24"/>
      <c r="H28" s="84"/>
      <c r="I28" s="84"/>
      <c r="J28" s="86"/>
      <c r="K28" s="134"/>
      <c r="L28" s="134"/>
      <c r="M28" s="134"/>
      <c r="N28" s="134"/>
      <c r="O28" s="95"/>
      <c r="P28" s="95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20"/>
      <c r="AD28" s="6"/>
      <c r="AE28" s="6"/>
      <c r="AF28" s="20"/>
    </row>
    <row r="29" spans="1:32" s="3" customFormat="1" ht="27" customHeight="1">
      <c r="A29" s="31"/>
      <c r="B29" s="10"/>
      <c r="C29" s="8"/>
      <c r="D29" s="20"/>
      <c r="E29" s="20"/>
      <c r="F29" s="20"/>
      <c r="G29" s="24"/>
      <c r="H29" s="84"/>
      <c r="I29" s="84"/>
      <c r="J29" s="86"/>
      <c r="K29" s="134"/>
      <c r="L29" s="134"/>
      <c r="M29" s="134"/>
      <c r="N29" s="97"/>
      <c r="O29" s="95"/>
      <c r="P29" s="95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20"/>
      <c r="AD29" s="6"/>
      <c r="AE29" s="6"/>
      <c r="AF29" s="20"/>
    </row>
    <row r="30" spans="1:32" s="3" customFormat="1" ht="27" customHeight="1">
      <c r="A30" s="31"/>
      <c r="B30" s="10"/>
      <c r="C30" s="8"/>
      <c r="D30" s="20"/>
      <c r="E30" s="20"/>
      <c r="F30" s="20"/>
      <c r="G30" s="24"/>
      <c r="H30" s="84"/>
      <c r="I30" s="84"/>
      <c r="J30" s="86"/>
      <c r="K30" s="134"/>
      <c r="L30" s="134"/>
      <c r="M30" s="134"/>
      <c r="N30" s="97"/>
      <c r="O30" s="95"/>
      <c r="P30" s="95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20"/>
      <c r="AD30" s="6"/>
      <c r="AE30" s="6"/>
      <c r="AF30" s="20"/>
    </row>
    <row r="31" spans="1:32" s="3" customFormat="1" ht="27" customHeight="1">
      <c r="A31" s="31"/>
      <c r="B31" s="10"/>
      <c r="C31" s="8"/>
      <c r="D31" s="20"/>
      <c r="E31" s="20"/>
      <c r="F31" s="20"/>
      <c r="G31" s="24"/>
      <c r="H31" s="84"/>
      <c r="I31" s="84"/>
      <c r="J31" s="86"/>
      <c r="K31" s="134"/>
      <c r="L31" s="134"/>
      <c r="M31" s="134"/>
      <c r="N31" s="97"/>
      <c r="O31" s="95"/>
      <c r="P31" s="95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20"/>
      <c r="AD31" s="6"/>
      <c r="AE31" s="6"/>
      <c r="AF31" s="20"/>
    </row>
    <row r="32" spans="1:32" s="3" customFormat="1" ht="27" customHeight="1">
      <c r="A32" s="31"/>
      <c r="B32" s="10"/>
      <c r="C32" s="67" t="s">
        <v>165</v>
      </c>
      <c r="D32" s="63">
        <f>SUM(D28:D31)</f>
        <v>0</v>
      </c>
      <c r="E32" s="63">
        <f>SUM(E28:E31)</f>
        <v>0</v>
      </c>
      <c r="F32" s="63">
        <f>SUM(F28:F31)</f>
        <v>0</v>
      </c>
      <c r="G32" s="24"/>
      <c r="H32" s="84"/>
      <c r="I32" s="84"/>
      <c r="J32" s="86"/>
      <c r="K32" s="134"/>
      <c r="L32" s="134"/>
      <c r="M32" s="134"/>
      <c r="N32" s="97"/>
      <c r="O32" s="95"/>
      <c r="P32" s="95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20"/>
      <c r="AD32" s="6"/>
      <c r="AE32" s="6"/>
      <c r="AF32" s="20"/>
    </row>
    <row r="33" spans="1:34" s="3" customFormat="1" ht="27" customHeight="1">
      <c r="A33" s="31"/>
      <c r="B33" s="10"/>
      <c r="C33" s="6"/>
      <c r="D33" s="20"/>
      <c r="E33" s="20"/>
      <c r="F33" s="20"/>
      <c r="G33" s="24"/>
      <c r="H33" s="84"/>
      <c r="I33" s="84"/>
      <c r="J33" s="86"/>
      <c r="K33" s="134"/>
      <c r="L33" s="134"/>
      <c r="M33" s="134"/>
      <c r="N33" s="97"/>
      <c r="O33" s="95"/>
      <c r="P33" s="95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20"/>
      <c r="AD33" s="6"/>
      <c r="AE33" s="6"/>
      <c r="AF33" s="20"/>
    </row>
    <row r="34" spans="1:34" s="3" customFormat="1" ht="27" customHeight="1">
      <c r="A34" s="31"/>
      <c r="B34" s="10" t="s">
        <v>209</v>
      </c>
      <c r="C34" s="6"/>
      <c r="D34" s="20"/>
      <c r="E34" s="20"/>
      <c r="F34" s="20"/>
      <c r="G34" s="24"/>
      <c r="H34" s="84"/>
      <c r="I34" s="84"/>
      <c r="J34" s="86"/>
      <c r="K34" s="134"/>
      <c r="L34" s="134"/>
      <c r="M34" s="134"/>
      <c r="N34" s="134"/>
      <c r="O34" s="95"/>
      <c r="P34" s="97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20"/>
      <c r="AE34" s="6"/>
      <c r="AF34" s="6"/>
      <c r="AG34" s="20"/>
    </row>
    <row r="35" spans="1:34" s="3" customFormat="1" ht="27" customHeight="1">
      <c r="A35" s="31"/>
      <c r="B35" s="10" t="str">
        <f>+B18</f>
        <v>IXTLAHUACAN DEL RIO JALISCO A 30 DE JUNIO DE 2019</v>
      </c>
      <c r="C35" s="6"/>
      <c r="D35" s="20"/>
      <c r="E35" s="20"/>
      <c r="F35" s="20"/>
      <c r="G35" s="24"/>
      <c r="H35" s="84"/>
      <c r="I35" s="84"/>
      <c r="J35" s="86"/>
      <c r="K35" s="134"/>
      <c r="L35" s="134"/>
      <c r="M35" s="134"/>
      <c r="N35" s="134"/>
      <c r="O35" s="95"/>
      <c r="P35" s="97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20"/>
      <c r="AE35" s="6"/>
      <c r="AF35" s="6"/>
      <c r="AG35" s="20"/>
    </row>
    <row r="36" spans="1:34" s="3" customFormat="1" ht="27" customHeight="1">
      <c r="A36" s="31"/>
      <c r="B36" s="10"/>
      <c r="C36" s="6"/>
      <c r="D36" s="20"/>
      <c r="E36" s="20"/>
      <c r="F36" s="20"/>
      <c r="G36" s="24"/>
      <c r="H36" s="84"/>
      <c r="I36" s="84"/>
      <c r="J36" s="86"/>
      <c r="K36" s="134"/>
      <c r="L36" s="134"/>
      <c r="M36" s="134"/>
      <c r="N36" s="134"/>
      <c r="O36" s="95"/>
      <c r="P36" s="97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20"/>
      <c r="AE36" s="6"/>
      <c r="AF36" s="6"/>
      <c r="AG36" s="20"/>
    </row>
    <row r="37" spans="1:34" s="3" customFormat="1" ht="27" customHeight="1">
      <c r="A37" s="31"/>
      <c r="B37" s="10"/>
      <c r="C37" s="6"/>
      <c r="D37" s="20"/>
      <c r="E37" s="20"/>
      <c r="F37" s="20"/>
      <c r="G37" s="24"/>
      <c r="H37" s="84"/>
      <c r="I37" s="84"/>
      <c r="J37" s="86"/>
      <c r="K37" s="134"/>
      <c r="L37" s="134"/>
      <c r="M37" s="134"/>
      <c r="N37" s="134"/>
      <c r="O37" s="95"/>
      <c r="P37" s="97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20"/>
      <c r="AE37" s="6"/>
      <c r="AF37" s="6"/>
      <c r="AG37" s="20"/>
    </row>
    <row r="38" spans="1:34" s="3" customFormat="1" ht="27" customHeight="1">
      <c r="A38" s="31"/>
      <c r="B38" s="10"/>
      <c r="C38" s="6"/>
      <c r="D38" s="20"/>
      <c r="E38" s="20"/>
      <c r="F38" s="20"/>
      <c r="G38" s="24"/>
      <c r="H38" s="84"/>
      <c r="I38" s="84"/>
      <c r="J38" s="86"/>
      <c r="K38" s="134"/>
      <c r="L38" s="134"/>
      <c r="M38" s="134"/>
      <c r="N38" s="134"/>
      <c r="O38" s="97"/>
      <c r="P38" s="134"/>
      <c r="Q38" s="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20"/>
      <c r="AF38" s="6"/>
      <c r="AG38" s="6"/>
      <c r="AH38" s="20"/>
    </row>
    <row r="39" spans="1:34" s="3" customFormat="1" ht="27" customHeight="1">
      <c r="A39" s="9"/>
      <c r="B39" s="10"/>
      <c r="C39" s="26"/>
      <c r="D39" s="4"/>
      <c r="E39" s="4"/>
      <c r="F39" s="4"/>
      <c r="G39" s="24"/>
      <c r="H39" s="84"/>
      <c r="I39" s="91"/>
      <c r="J39" s="86"/>
      <c r="K39" s="87"/>
      <c r="L39" s="110"/>
      <c r="M39" s="118"/>
      <c r="N39" s="118"/>
      <c r="O39" s="131"/>
      <c r="P39" s="118"/>
      <c r="Q39" s="2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20"/>
      <c r="AF39" s="6"/>
      <c r="AG39" s="6"/>
      <c r="AH39" s="20"/>
    </row>
    <row r="40" spans="1:34" s="3" customFormat="1" ht="27" customHeight="1">
      <c r="A40" s="9"/>
      <c r="B40" s="10"/>
      <c r="C40" s="26"/>
      <c r="D40" s="32"/>
      <c r="E40" s="32"/>
      <c r="F40" s="32"/>
      <c r="G40" s="24"/>
      <c r="H40" s="84"/>
      <c r="I40" s="91"/>
      <c r="J40" s="86"/>
      <c r="K40" s="87"/>
      <c r="L40" s="110"/>
      <c r="M40" s="118"/>
      <c r="N40" s="118"/>
      <c r="O40" s="131"/>
      <c r="P40" s="118"/>
      <c r="Q40" s="2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20"/>
      <c r="AF40" s="6"/>
      <c r="AG40" s="6"/>
      <c r="AH40" s="20"/>
    </row>
    <row r="41" spans="1:34" s="3" customFormat="1" ht="27" customHeight="1">
      <c r="A41" s="9"/>
      <c r="C41" s="30"/>
      <c r="D41" s="4"/>
      <c r="E41" s="4"/>
      <c r="F41" s="4"/>
      <c r="G41" s="24" t="s">
        <v>18</v>
      </c>
      <c r="H41" s="84"/>
      <c r="I41" s="91"/>
      <c r="J41" s="86">
        <f>SUM(H41-I41)</f>
        <v>0</v>
      </c>
      <c r="K41" s="87"/>
      <c r="L41" s="110"/>
      <c r="M41" s="118"/>
      <c r="N41" s="120"/>
      <c r="O41" s="131"/>
      <c r="P41" s="131"/>
      <c r="Q41" s="2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20"/>
      <c r="AF41" s="6"/>
      <c r="AG41" s="6"/>
      <c r="AH41" s="20"/>
    </row>
    <row r="42" spans="1:34" s="3" customFormat="1" ht="27" customHeight="1">
      <c r="A42" s="9"/>
      <c r="C42" s="26"/>
      <c r="D42" s="4"/>
      <c r="E42" s="4"/>
      <c r="F42" s="4"/>
      <c r="G42" s="24" t="s">
        <v>18</v>
      </c>
      <c r="H42" s="84"/>
      <c r="I42" s="91"/>
      <c r="J42" s="86">
        <f>SUM(H42-I42)</f>
        <v>0</v>
      </c>
      <c r="K42" s="87"/>
      <c r="L42" s="109"/>
      <c r="M42" s="95"/>
      <c r="N42" s="117"/>
      <c r="O42" s="131"/>
      <c r="P42" s="131"/>
      <c r="Q42" s="2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20"/>
      <c r="AF42" s="6"/>
      <c r="AG42" s="6"/>
      <c r="AH42" s="20"/>
    </row>
    <row r="43" spans="1:34" s="3" customFormat="1" ht="27" customHeight="1">
      <c r="A43" s="9"/>
      <c r="B43" s="10"/>
      <c r="C43" s="26"/>
      <c r="D43" s="28"/>
      <c r="E43" s="28"/>
      <c r="F43" s="21"/>
      <c r="G43" s="24" t="s">
        <v>18</v>
      </c>
      <c r="H43" s="91"/>
      <c r="I43" s="91"/>
      <c r="J43" s="86"/>
      <c r="K43" s="98"/>
      <c r="L43" s="98"/>
      <c r="M43" s="95"/>
      <c r="N43" s="117"/>
      <c r="O43" s="131"/>
      <c r="P43" s="131"/>
      <c r="Q43" s="2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20"/>
      <c r="AF43" s="6"/>
      <c r="AG43" s="6"/>
      <c r="AH43" s="20"/>
    </row>
    <row r="51" spans="3:6" ht="27" customHeight="1">
      <c r="D51" s="20"/>
      <c r="E51" s="20"/>
      <c r="F51" s="20"/>
    </row>
    <row r="52" spans="3:6" ht="27" customHeight="1">
      <c r="D52" s="20"/>
      <c r="E52" s="20"/>
      <c r="F52" s="20"/>
    </row>
    <row r="53" spans="3:6" ht="27" customHeight="1">
      <c r="D53" s="20"/>
      <c r="E53" s="20"/>
      <c r="F53" s="20"/>
    </row>
    <row r="54" spans="3:6" ht="27" customHeight="1">
      <c r="D54" s="20"/>
      <c r="E54" s="20"/>
      <c r="F54" s="20"/>
    </row>
    <row r="55" spans="3:6" ht="27" customHeight="1">
      <c r="C55" s="62"/>
      <c r="D55" s="63"/>
      <c r="E55" s="63"/>
      <c r="F55" s="63"/>
    </row>
  </sheetData>
  <mergeCells count="8">
    <mergeCell ref="A26:G26"/>
    <mergeCell ref="A27:G27"/>
    <mergeCell ref="A1:G1"/>
    <mergeCell ref="A2:G2"/>
    <mergeCell ref="A3:G3"/>
    <mergeCell ref="A4:G4"/>
    <mergeCell ref="A24:G24"/>
    <mergeCell ref="A25:G25"/>
  </mergeCells>
  <pageMargins left="0.23622047244094491" right="0.23622047244094491" top="0.74803149606299213" bottom="0.74803149606299213" header="0.31496062992125984" footer="0.31496062992125984"/>
  <pageSetup scale="6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7"/>
  <sheetViews>
    <sheetView zoomScale="80" zoomScaleNormal="80" workbookViewId="0">
      <selection activeCell="B38" sqref="B38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32.42578125" style="30" bestFit="1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37" style="6" customWidth="1"/>
    <col min="8" max="8" width="11.5703125" style="84" bestFit="1" customWidth="1"/>
    <col min="9" max="9" width="9.5703125" style="91" customWidth="1"/>
    <col min="10" max="10" width="17.5703125" style="86" customWidth="1"/>
    <col min="11" max="11" width="16.7109375" style="87" customWidth="1"/>
    <col min="12" max="12" width="23.42578125" style="109" customWidth="1"/>
    <col min="13" max="13" width="9.7109375" style="95" customWidth="1"/>
    <col min="14" max="14" width="10.140625" style="117" bestFit="1" customWidth="1"/>
    <col min="15" max="15" width="9.85546875" style="131" bestFit="1" customWidth="1"/>
    <col min="16" max="16" width="8.140625" style="131" bestFit="1" customWidth="1"/>
    <col min="17" max="17" width="11.7109375" style="2" customWidth="1"/>
    <col min="18" max="18" width="6.85546875" style="6" customWidth="1"/>
    <col min="19" max="19" width="13.85546875" style="6" customWidth="1"/>
    <col min="20" max="20" width="11.7109375" style="6" customWidth="1"/>
    <col min="21" max="21" width="43.42578125" style="6" customWidth="1"/>
    <col min="22" max="30" width="11.7109375" style="6" customWidth="1"/>
    <col min="31" max="31" width="11.7109375" style="20" customWidth="1"/>
    <col min="32" max="33" width="11.7109375" style="6" customWidth="1"/>
    <col min="34" max="34" width="11.7109375" style="20" customWidth="1"/>
    <col min="35" max="35" width="11.7109375" style="6" customWidth="1"/>
    <col min="36" max="36" width="2.28515625" style="6" customWidth="1"/>
    <col min="37" max="37" width="15.5703125" style="6" customWidth="1"/>
    <col min="38" max="38" width="11.42578125" style="6" customWidth="1"/>
    <col min="39" max="39" width="11.42578125" style="6"/>
    <col min="40" max="40" width="11.42578125" style="6" customWidth="1"/>
    <col min="41" max="41" width="42.28515625" style="6" customWidth="1"/>
    <col min="42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153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210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s="3" customFormat="1" ht="27" customHeight="1">
      <c r="A7" s="31">
        <v>1</v>
      </c>
      <c r="B7" s="10" t="str">
        <f t="shared" ref="B7:C7" si="0">+L7</f>
        <v xml:space="preserve">ABUNDIS MUÑOZ ALFREDO </v>
      </c>
      <c r="C7" s="8" t="str">
        <f t="shared" si="0"/>
        <v>CUADRILLA AGUA POTABLE Y ALCAN</v>
      </c>
      <c r="D7" s="20">
        <f>H7*2</f>
        <v>941.55200000000002</v>
      </c>
      <c r="E7" s="20">
        <f>I7*2</f>
        <v>114.88533333333334</v>
      </c>
      <c r="F7" s="20">
        <f t="shared" ref="F7:F9" si="1">D7-E7</f>
        <v>826.66666666666674</v>
      </c>
      <c r="G7" s="24"/>
      <c r="H7" s="84">
        <f t="shared" ref="H7:I7" si="2">+N7/15</f>
        <v>470.77600000000001</v>
      </c>
      <c r="I7" s="84">
        <f t="shared" si="2"/>
        <v>57.442666666666668</v>
      </c>
      <c r="J7" s="86">
        <f t="shared" ref="J7" si="3">+H7-I7</f>
        <v>413.33333333333337</v>
      </c>
      <c r="K7" s="134"/>
      <c r="L7" s="134" t="s">
        <v>56</v>
      </c>
      <c r="M7" s="134" t="s">
        <v>57</v>
      </c>
      <c r="N7" s="134">
        <v>7061.64</v>
      </c>
      <c r="O7" s="134">
        <v>861.64</v>
      </c>
      <c r="P7" s="97">
        <v>705.1</v>
      </c>
      <c r="Q7" s="2"/>
      <c r="R7" s="2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20"/>
      <c r="AG7" s="6"/>
      <c r="AH7" s="6"/>
      <c r="AI7" s="20"/>
    </row>
    <row r="8" spans="1:35" s="72" customFormat="1" ht="27" customHeight="1">
      <c r="A8" s="31">
        <v>2</v>
      </c>
      <c r="B8" s="68" t="s">
        <v>111</v>
      </c>
      <c r="C8" s="102" t="s">
        <v>112</v>
      </c>
      <c r="D8" s="75">
        <f t="shared" ref="D8:E8" si="4">H8*1</f>
        <v>185.49799999999999</v>
      </c>
      <c r="E8" s="75">
        <f t="shared" si="4"/>
        <v>2.1646666666666667</v>
      </c>
      <c r="F8" s="69">
        <f t="shared" si="1"/>
        <v>183.33333333333331</v>
      </c>
      <c r="G8" s="70"/>
      <c r="H8" s="97">
        <f t="shared" ref="H8:I8" si="5">+O8/30</f>
        <v>185.49799999999999</v>
      </c>
      <c r="I8" s="139">
        <f t="shared" si="5"/>
        <v>2.1646666666666667</v>
      </c>
      <c r="J8" s="140">
        <f t="shared" ref="J8" si="6">SUM(H8-I8)</f>
        <v>183.33333333333331</v>
      </c>
      <c r="K8" s="145"/>
      <c r="L8" s="146" t="s">
        <v>111</v>
      </c>
      <c r="M8" s="147"/>
      <c r="N8" s="148" t="s">
        <v>112</v>
      </c>
      <c r="O8" s="97">
        <v>5564.94</v>
      </c>
      <c r="P8" s="97">
        <v>64.94</v>
      </c>
      <c r="Q8" s="69"/>
      <c r="R8" s="69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34"/>
      <c r="AG8" s="71"/>
      <c r="AH8" s="71"/>
      <c r="AI8" s="34"/>
    </row>
    <row r="9" spans="1:35" s="3" customFormat="1" ht="27" customHeight="1">
      <c r="A9" s="31">
        <v>3</v>
      </c>
      <c r="B9" s="10" t="str">
        <f t="shared" ref="B9:C9" si="7">+L9</f>
        <v>YAÑEZ JIMENEZ JORGE</v>
      </c>
      <c r="C9" s="8" t="str">
        <f t="shared" si="7"/>
        <v>BASURA</v>
      </c>
      <c r="D9" s="20">
        <f>H9*10</f>
        <v>2244.3766666666666</v>
      </c>
      <c r="E9" s="20">
        <f>I9*10</f>
        <v>77.713333333333324</v>
      </c>
      <c r="F9" s="20">
        <f t="shared" si="1"/>
        <v>2166.6633333333334</v>
      </c>
      <c r="G9" s="24"/>
      <c r="H9" s="84">
        <f t="shared" ref="H9:I9" si="8">+N9/15</f>
        <v>224.43766666666667</v>
      </c>
      <c r="I9" s="84">
        <f t="shared" si="8"/>
        <v>7.7713333333333328</v>
      </c>
      <c r="J9" s="86">
        <f t="shared" ref="J9" si="9">+H9-I9</f>
        <v>216.66633333333334</v>
      </c>
      <c r="K9" s="134"/>
      <c r="L9" s="134" t="s">
        <v>142</v>
      </c>
      <c r="M9" s="134" t="s">
        <v>133</v>
      </c>
      <c r="N9" s="134">
        <v>3366.5650000000001</v>
      </c>
      <c r="O9" s="134">
        <v>116.57</v>
      </c>
      <c r="P9" s="97">
        <v>334.48</v>
      </c>
      <c r="Q9" s="2"/>
      <c r="R9" s="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0"/>
      <c r="AG9" s="6"/>
      <c r="AH9" s="6"/>
      <c r="AI9" s="20"/>
    </row>
    <row r="10" spans="1:35" s="3" customFormat="1" ht="27" customHeight="1">
      <c r="A10" s="31"/>
      <c r="B10" s="10"/>
      <c r="C10" s="6"/>
      <c r="D10" s="20"/>
      <c r="E10" s="20"/>
      <c r="F10" s="20"/>
      <c r="G10" s="24"/>
      <c r="H10" s="84"/>
      <c r="I10" s="91"/>
      <c r="J10" s="86"/>
      <c r="K10" s="134"/>
      <c r="L10" s="134"/>
      <c r="M10" s="134"/>
      <c r="N10" s="97"/>
      <c r="O10" s="95"/>
      <c r="P10" s="95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20"/>
      <c r="AD10" s="6"/>
      <c r="AE10" s="6"/>
      <c r="AF10" s="20"/>
    </row>
    <row r="11" spans="1:35" s="3" customFormat="1" ht="27" customHeight="1">
      <c r="A11" s="31"/>
      <c r="B11" s="10"/>
      <c r="C11" s="67" t="s">
        <v>165</v>
      </c>
      <c r="D11" s="63">
        <f>SUM(D7:D10)</f>
        <v>3371.4266666666663</v>
      </c>
      <c r="E11" s="63">
        <f>SUM(E7:E10)</f>
        <v>194.76333333333332</v>
      </c>
      <c r="F11" s="63">
        <f>SUM(F7:F10)</f>
        <v>3176.6633333333334</v>
      </c>
      <c r="G11" s="24"/>
      <c r="H11" s="84"/>
      <c r="I11" s="84"/>
      <c r="J11" s="86"/>
      <c r="K11" s="134"/>
      <c r="L11" s="134"/>
      <c r="M11" s="134"/>
      <c r="N11" s="97"/>
      <c r="O11" s="95"/>
      <c r="P11" s="95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20"/>
      <c r="AD11" s="6"/>
      <c r="AE11" s="6"/>
      <c r="AF11" s="20"/>
    </row>
    <row r="12" spans="1:35" s="3" customFormat="1" ht="27" customHeight="1">
      <c r="A12" s="31"/>
      <c r="B12" s="10" t="s">
        <v>212</v>
      </c>
      <c r="C12" s="6"/>
      <c r="D12" s="20"/>
      <c r="E12" s="20"/>
      <c r="F12" s="20"/>
      <c r="G12" s="24"/>
      <c r="H12" s="84"/>
      <c r="I12" s="84"/>
      <c r="J12" s="86"/>
      <c r="K12" s="134"/>
      <c r="L12" s="134"/>
      <c r="M12" s="134"/>
      <c r="N12" s="134"/>
      <c r="O12" s="95"/>
      <c r="P12" s="95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20"/>
      <c r="AD12" s="6"/>
      <c r="AE12" s="6"/>
      <c r="AF12" s="20"/>
    </row>
    <row r="13" spans="1:35" s="3" customFormat="1" ht="27" customHeight="1">
      <c r="A13" s="31"/>
      <c r="B13" s="10" t="s">
        <v>211</v>
      </c>
      <c r="C13" s="6"/>
      <c r="D13" s="20"/>
      <c r="E13" s="20"/>
      <c r="F13" s="20"/>
      <c r="G13" s="24"/>
      <c r="H13" s="84"/>
      <c r="I13" s="84"/>
      <c r="J13" s="86"/>
      <c r="K13" s="134"/>
      <c r="L13" s="134"/>
      <c r="M13" s="134"/>
      <c r="N13" s="134"/>
      <c r="O13" s="95"/>
      <c r="P13" s="95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20"/>
      <c r="AD13" s="6"/>
      <c r="AE13" s="6"/>
      <c r="AF13" s="20"/>
    </row>
    <row r="14" spans="1:35" s="3" customFormat="1" ht="27" customHeight="1">
      <c r="A14" s="31"/>
      <c r="B14" s="10"/>
      <c r="C14" s="6"/>
      <c r="D14" s="20"/>
      <c r="E14" s="20"/>
      <c r="F14" s="20"/>
      <c r="G14" s="24"/>
      <c r="H14" s="84"/>
      <c r="I14" s="84"/>
      <c r="J14" s="86"/>
      <c r="K14" s="134"/>
      <c r="L14" s="134"/>
      <c r="M14" s="134"/>
      <c r="N14" s="134"/>
      <c r="O14" s="95"/>
      <c r="P14" s="95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20"/>
      <c r="AD14" s="6"/>
      <c r="AE14" s="6"/>
      <c r="AF14" s="20"/>
    </row>
    <row r="15" spans="1:35" s="3" customFormat="1" ht="27" customHeight="1">
      <c r="A15" s="31"/>
      <c r="B15" s="10"/>
      <c r="C15" s="6"/>
      <c r="D15" s="20"/>
      <c r="E15" s="20"/>
      <c r="F15" s="20"/>
      <c r="G15" s="24"/>
      <c r="H15" s="84"/>
      <c r="I15" s="84"/>
      <c r="J15" s="86"/>
      <c r="K15" s="134"/>
      <c r="L15" s="134"/>
      <c r="M15" s="134"/>
      <c r="N15" s="134"/>
      <c r="O15" s="95"/>
      <c r="P15" s="95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20"/>
      <c r="AD15" s="6"/>
      <c r="AE15" s="6"/>
      <c r="AF15" s="20"/>
    </row>
    <row r="16" spans="1:35" s="3" customFormat="1" ht="27" customHeight="1">
      <c r="A16" s="31"/>
      <c r="B16" s="10"/>
      <c r="C16" s="6"/>
      <c r="D16" s="20"/>
      <c r="E16" s="20"/>
      <c r="F16" s="20"/>
      <c r="G16" s="24"/>
      <c r="H16" s="84"/>
      <c r="I16" s="84"/>
      <c r="J16" s="86"/>
      <c r="K16" s="134"/>
      <c r="L16" s="134"/>
      <c r="M16" s="134"/>
      <c r="N16" s="134"/>
      <c r="O16" s="95"/>
      <c r="P16" s="95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20"/>
      <c r="AD16" s="6"/>
      <c r="AE16" s="6"/>
      <c r="AF16" s="20"/>
    </row>
    <row r="17" spans="1:32" s="3" customFormat="1" ht="27" customHeight="1">
      <c r="A17" s="31"/>
      <c r="B17" s="10"/>
      <c r="C17" s="6"/>
      <c r="D17" s="20"/>
      <c r="E17" s="20"/>
      <c r="F17" s="20"/>
      <c r="G17" s="24"/>
      <c r="H17" s="84"/>
      <c r="I17" s="84"/>
      <c r="J17" s="86"/>
      <c r="K17" s="134"/>
      <c r="L17" s="134"/>
      <c r="M17" s="134"/>
      <c r="N17" s="134"/>
      <c r="O17" s="95"/>
      <c r="P17" s="95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20"/>
      <c r="AD17" s="6"/>
      <c r="AE17" s="6"/>
      <c r="AF17" s="20"/>
    </row>
    <row r="18" spans="1:32" s="3" customFormat="1" ht="27" customHeight="1">
      <c r="A18" s="31"/>
      <c r="B18" s="10"/>
      <c r="C18" s="6"/>
      <c r="D18" s="20"/>
      <c r="E18" s="20"/>
      <c r="F18" s="20"/>
      <c r="G18" s="24"/>
      <c r="H18" s="84"/>
      <c r="I18" s="84"/>
      <c r="J18" s="86"/>
      <c r="K18" s="134"/>
      <c r="L18" s="134"/>
      <c r="M18" s="134"/>
      <c r="N18" s="134"/>
      <c r="O18" s="95"/>
      <c r="P18" s="95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20"/>
      <c r="AD18" s="6"/>
      <c r="AE18" s="6"/>
      <c r="AF18" s="20"/>
    </row>
    <row r="19" spans="1:32" s="3" customFormat="1" ht="27" customHeight="1">
      <c r="A19" s="241" t="s">
        <v>24</v>
      </c>
      <c r="B19" s="242"/>
      <c r="C19" s="242"/>
      <c r="D19" s="242"/>
      <c r="E19" s="242"/>
      <c r="F19" s="242"/>
      <c r="G19" s="243"/>
      <c r="H19" s="84"/>
      <c r="I19" s="84"/>
      <c r="J19" s="86"/>
      <c r="K19" s="134"/>
      <c r="L19" s="134"/>
      <c r="M19" s="134"/>
      <c r="N19" s="134"/>
      <c r="O19" s="95"/>
      <c r="P19" s="95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20"/>
      <c r="AD19" s="6"/>
      <c r="AE19" s="6"/>
      <c r="AF19" s="20"/>
    </row>
    <row r="20" spans="1:32" s="3" customFormat="1" ht="27" customHeight="1">
      <c r="A20" s="241" t="s">
        <v>153</v>
      </c>
      <c r="B20" s="242"/>
      <c r="C20" s="242"/>
      <c r="D20" s="242"/>
      <c r="E20" s="242"/>
      <c r="F20" s="242"/>
      <c r="G20" s="243"/>
      <c r="H20" s="84"/>
      <c r="I20" s="84"/>
      <c r="J20" s="86"/>
      <c r="K20" s="134"/>
      <c r="L20" s="134"/>
      <c r="M20" s="134"/>
      <c r="N20" s="134"/>
      <c r="O20" s="95"/>
      <c r="P20" s="95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20"/>
      <c r="AD20" s="6"/>
      <c r="AE20" s="6"/>
      <c r="AF20" s="20"/>
    </row>
    <row r="21" spans="1:32" s="3" customFormat="1" ht="27" customHeight="1">
      <c r="A21" s="241" t="str">
        <f>+A3</f>
        <v>AYUNTAMIENTO Y QUE  CORRESPONDEN A LA PRIMER QUINCENA DE JUNIO 2019</v>
      </c>
      <c r="B21" s="242"/>
      <c r="C21" s="242"/>
      <c r="D21" s="242"/>
      <c r="E21" s="242"/>
      <c r="F21" s="242"/>
      <c r="G21" s="243"/>
      <c r="H21" s="84"/>
      <c r="I21" s="84"/>
      <c r="J21" s="86"/>
      <c r="K21" s="134"/>
      <c r="L21" s="134"/>
      <c r="M21" s="134"/>
      <c r="N21" s="134"/>
      <c r="O21" s="95"/>
      <c r="P21" s="95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20"/>
      <c r="AD21" s="6"/>
      <c r="AE21" s="6"/>
      <c r="AF21" s="20"/>
    </row>
    <row r="22" spans="1:32" s="3" customFormat="1" ht="27" customHeight="1">
      <c r="A22" s="241" t="s">
        <v>27</v>
      </c>
      <c r="B22" s="242"/>
      <c r="C22" s="242"/>
      <c r="D22" s="242"/>
      <c r="E22" s="242"/>
      <c r="F22" s="242"/>
      <c r="G22" s="243"/>
      <c r="H22" s="84"/>
      <c r="I22" s="84"/>
      <c r="J22" s="86"/>
      <c r="K22" s="134"/>
      <c r="L22" s="134"/>
      <c r="M22" s="134"/>
      <c r="N22" s="134"/>
      <c r="O22" s="95"/>
      <c r="P22" s="95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20"/>
      <c r="AD22" s="6"/>
      <c r="AE22" s="6"/>
      <c r="AF22" s="20"/>
    </row>
    <row r="23" spans="1:32" s="3" customFormat="1" ht="27" customHeight="1">
      <c r="A23" s="31">
        <v>1</v>
      </c>
      <c r="B23" s="10"/>
      <c r="C23" s="8" t="str">
        <f>+M23</f>
        <v>POLICIA DE LINEA</v>
      </c>
      <c r="D23" s="20">
        <f t="shared" ref="D23:E23" si="10">H23</f>
        <v>391.47533333333337</v>
      </c>
      <c r="E23" s="20">
        <f t="shared" si="10"/>
        <v>40.808666666666667</v>
      </c>
      <c r="F23" s="20">
        <f t="shared" ref="F23" si="11">D23-E23</f>
        <v>350.66666666666669</v>
      </c>
      <c r="G23" s="24"/>
      <c r="H23" s="84">
        <f t="shared" ref="H23" si="12">+N23/15</f>
        <v>391.47533333333337</v>
      </c>
      <c r="I23" s="84">
        <f>+O23/15</f>
        <v>40.808666666666667</v>
      </c>
      <c r="J23" s="86">
        <f>+H23-I23</f>
        <v>350.66666666666669</v>
      </c>
      <c r="K23" s="134"/>
      <c r="L23" s="134" t="s">
        <v>213</v>
      </c>
      <c r="M23" s="134" t="s">
        <v>90</v>
      </c>
      <c r="N23" s="134">
        <v>5872.13</v>
      </c>
      <c r="O23" s="95">
        <v>612.13</v>
      </c>
      <c r="P23" s="98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20"/>
      <c r="AC23" s="6"/>
      <c r="AD23" s="6"/>
      <c r="AE23" s="20"/>
    </row>
    <row r="24" spans="1:32" s="3" customFormat="1" ht="27" customHeight="1">
      <c r="A24" s="31">
        <v>2</v>
      </c>
      <c r="B24" s="10"/>
      <c r="C24" s="8" t="str">
        <f t="shared" ref="C24:C33" si="13">+M24</f>
        <v>POLICIA DE LINEA</v>
      </c>
      <c r="D24" s="20">
        <f t="shared" ref="D24:D33" si="14">H24</f>
        <v>391.47533333333337</v>
      </c>
      <c r="E24" s="20">
        <f t="shared" ref="E24:E33" si="15">I24</f>
        <v>40.808666666666667</v>
      </c>
      <c r="F24" s="20">
        <f t="shared" ref="F24:F33" si="16">D24-E24</f>
        <v>350.66666666666669</v>
      </c>
      <c r="G24" s="24"/>
      <c r="H24" s="84">
        <f t="shared" ref="H24:H33" si="17">+N24/15</f>
        <v>391.47533333333337</v>
      </c>
      <c r="I24" s="84">
        <f t="shared" ref="I24:I33" si="18">+O24/15</f>
        <v>40.808666666666667</v>
      </c>
      <c r="J24" s="86">
        <f t="shared" ref="J24:J33" si="19">+H24-I24</f>
        <v>350.66666666666669</v>
      </c>
      <c r="K24" s="134"/>
      <c r="L24" s="134" t="s">
        <v>215</v>
      </c>
      <c r="M24" s="134" t="s">
        <v>90</v>
      </c>
      <c r="N24" s="134">
        <v>5872.13</v>
      </c>
      <c r="O24" s="95">
        <v>612.13</v>
      </c>
      <c r="P24" s="98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20"/>
      <c r="AC24" s="6"/>
      <c r="AD24" s="6"/>
      <c r="AE24" s="20"/>
    </row>
    <row r="25" spans="1:32" s="3" customFormat="1" ht="27" customHeight="1">
      <c r="A25" s="31">
        <v>3</v>
      </c>
      <c r="B25" s="10" t="str">
        <f t="shared" ref="B24:B33" si="20">+L25</f>
        <v xml:space="preserve">CAMACHO FLORES MARIO </v>
      </c>
      <c r="C25" s="8" t="str">
        <f t="shared" si="13"/>
        <v>COMANDANTE</v>
      </c>
      <c r="D25" s="20">
        <f t="shared" si="14"/>
        <v>432.6273333333333</v>
      </c>
      <c r="E25" s="20">
        <f t="shared" si="15"/>
        <v>49.293999999999997</v>
      </c>
      <c r="F25" s="20">
        <f t="shared" si="16"/>
        <v>383.33333333333331</v>
      </c>
      <c r="G25" s="24"/>
      <c r="H25" s="84">
        <f t="shared" si="17"/>
        <v>432.6273333333333</v>
      </c>
      <c r="I25" s="84">
        <f t="shared" si="18"/>
        <v>49.293999999999997</v>
      </c>
      <c r="J25" s="86">
        <f t="shared" si="19"/>
        <v>383.33333333333331</v>
      </c>
      <c r="K25" s="134"/>
      <c r="L25" s="134" t="s">
        <v>217</v>
      </c>
      <c r="M25" s="134" t="s">
        <v>208</v>
      </c>
      <c r="N25" s="134">
        <v>6489.41</v>
      </c>
      <c r="O25" s="95">
        <v>739.41</v>
      </c>
      <c r="P25" s="98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20"/>
      <c r="AC25" s="6"/>
      <c r="AD25" s="6"/>
      <c r="AE25" s="20"/>
    </row>
    <row r="26" spans="1:32" s="3" customFormat="1" ht="27" customHeight="1">
      <c r="A26" s="31">
        <v>4</v>
      </c>
      <c r="B26" s="10" t="str">
        <f t="shared" si="20"/>
        <v xml:space="preserve">FLORES RUVALCABA ROBERTO ALEJANDRO </v>
      </c>
      <c r="C26" s="8" t="str">
        <f t="shared" si="13"/>
        <v>COMANDANTE</v>
      </c>
      <c r="D26" s="20">
        <f t="shared" si="14"/>
        <v>432.6273333333333</v>
      </c>
      <c r="E26" s="20">
        <f t="shared" si="15"/>
        <v>49.293999999999997</v>
      </c>
      <c r="F26" s="20">
        <f t="shared" si="16"/>
        <v>383.33333333333331</v>
      </c>
      <c r="G26" s="24"/>
      <c r="H26" s="84">
        <f t="shared" si="17"/>
        <v>432.6273333333333</v>
      </c>
      <c r="I26" s="84">
        <f t="shared" si="18"/>
        <v>49.293999999999997</v>
      </c>
      <c r="J26" s="86">
        <f t="shared" si="19"/>
        <v>383.33333333333331</v>
      </c>
      <c r="K26" s="134"/>
      <c r="L26" s="134" t="s">
        <v>203</v>
      </c>
      <c r="M26" s="134" t="s">
        <v>208</v>
      </c>
      <c r="N26" s="134">
        <v>6489.41</v>
      </c>
      <c r="O26" s="95">
        <v>739.41</v>
      </c>
      <c r="P26" s="98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20"/>
      <c r="AC26" s="6"/>
      <c r="AD26" s="6"/>
      <c r="AE26" s="20"/>
    </row>
    <row r="27" spans="1:32" s="3" customFormat="1" ht="27" customHeight="1">
      <c r="A27" s="31">
        <v>5</v>
      </c>
      <c r="B27" s="10"/>
      <c r="C27" s="8" t="str">
        <f t="shared" si="13"/>
        <v>POLICIA DE LINEA</v>
      </c>
      <c r="D27" s="20">
        <f t="shared" si="14"/>
        <v>391.47533333333337</v>
      </c>
      <c r="E27" s="20">
        <f t="shared" si="15"/>
        <v>40.808666666666667</v>
      </c>
      <c r="F27" s="20">
        <f t="shared" si="16"/>
        <v>350.66666666666669</v>
      </c>
      <c r="G27" s="24"/>
      <c r="H27" s="84">
        <f t="shared" si="17"/>
        <v>391.47533333333337</v>
      </c>
      <c r="I27" s="84">
        <f t="shared" si="18"/>
        <v>40.808666666666667</v>
      </c>
      <c r="J27" s="86">
        <f t="shared" si="19"/>
        <v>350.66666666666669</v>
      </c>
      <c r="K27" s="134"/>
      <c r="L27" s="134" t="s">
        <v>218</v>
      </c>
      <c r="M27" s="134" t="s">
        <v>90</v>
      </c>
      <c r="N27" s="134">
        <v>5872.13</v>
      </c>
      <c r="O27" s="95">
        <v>612.13</v>
      </c>
      <c r="P27" s="98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20"/>
      <c r="AC27" s="6"/>
      <c r="AD27" s="6"/>
      <c r="AE27" s="20"/>
    </row>
    <row r="28" spans="1:32" s="3" customFormat="1" ht="27" customHeight="1">
      <c r="A28" s="31">
        <v>6</v>
      </c>
      <c r="B28" s="10"/>
      <c r="C28" s="8" t="str">
        <f t="shared" si="13"/>
        <v>POLICIA DE LINEA</v>
      </c>
      <c r="D28" s="20">
        <f t="shared" si="14"/>
        <v>391.47533333333337</v>
      </c>
      <c r="E28" s="20">
        <f t="shared" si="15"/>
        <v>40.808666666666667</v>
      </c>
      <c r="F28" s="20">
        <f t="shared" si="16"/>
        <v>350.66666666666669</v>
      </c>
      <c r="G28" s="24"/>
      <c r="H28" s="84">
        <f t="shared" si="17"/>
        <v>391.47533333333337</v>
      </c>
      <c r="I28" s="84">
        <f t="shared" si="18"/>
        <v>40.808666666666667</v>
      </c>
      <c r="J28" s="86">
        <f t="shared" si="19"/>
        <v>350.66666666666669</v>
      </c>
      <c r="K28" s="134"/>
      <c r="L28" s="134" t="s">
        <v>219</v>
      </c>
      <c r="M28" s="134" t="s">
        <v>90</v>
      </c>
      <c r="N28" s="134">
        <v>5872.13</v>
      </c>
      <c r="O28" s="95">
        <v>612.13</v>
      </c>
      <c r="P28" s="98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20"/>
      <c r="AC28" s="6"/>
      <c r="AD28" s="6"/>
      <c r="AE28" s="20"/>
    </row>
    <row r="29" spans="1:32" s="3" customFormat="1" ht="27" customHeight="1">
      <c r="A29" s="31">
        <v>7</v>
      </c>
      <c r="B29" s="10"/>
      <c r="C29" s="8" t="str">
        <f t="shared" si="13"/>
        <v>POLICIA DE LINEA</v>
      </c>
      <c r="D29" s="20">
        <f t="shared" si="14"/>
        <v>391.47533333333337</v>
      </c>
      <c r="E29" s="20">
        <f t="shared" si="15"/>
        <v>40.808666666666667</v>
      </c>
      <c r="F29" s="20">
        <f t="shared" si="16"/>
        <v>350.66666666666669</v>
      </c>
      <c r="G29" s="24"/>
      <c r="H29" s="84">
        <f t="shared" si="17"/>
        <v>391.47533333333337</v>
      </c>
      <c r="I29" s="84">
        <f t="shared" si="18"/>
        <v>40.808666666666667</v>
      </c>
      <c r="J29" s="86">
        <f t="shared" si="19"/>
        <v>350.66666666666669</v>
      </c>
      <c r="K29" s="134"/>
      <c r="L29" s="134" t="s">
        <v>205</v>
      </c>
      <c r="M29" s="134" t="s">
        <v>90</v>
      </c>
      <c r="N29" s="134">
        <v>5872.13</v>
      </c>
      <c r="O29" s="95">
        <v>612.13</v>
      </c>
      <c r="P29" s="98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0"/>
      <c r="AC29" s="6"/>
      <c r="AD29" s="6"/>
      <c r="AE29" s="20"/>
    </row>
    <row r="30" spans="1:32" s="3" customFormat="1" ht="27" customHeight="1">
      <c r="A30" s="31">
        <v>8</v>
      </c>
      <c r="B30" s="10"/>
      <c r="C30" s="8" t="str">
        <f t="shared" si="13"/>
        <v>POLICIA DE LINEA</v>
      </c>
      <c r="D30" s="20">
        <f t="shared" si="14"/>
        <v>391.47533333333337</v>
      </c>
      <c r="E30" s="20">
        <f t="shared" si="15"/>
        <v>40.808666666666667</v>
      </c>
      <c r="F30" s="20">
        <f t="shared" si="16"/>
        <v>350.66666666666669</v>
      </c>
      <c r="G30" s="24"/>
      <c r="H30" s="84">
        <f t="shared" si="17"/>
        <v>391.47533333333337</v>
      </c>
      <c r="I30" s="84">
        <f t="shared" si="18"/>
        <v>40.808666666666667</v>
      </c>
      <c r="J30" s="86">
        <f t="shared" si="19"/>
        <v>350.66666666666669</v>
      </c>
      <c r="K30" s="134"/>
      <c r="L30" s="134" t="s">
        <v>91</v>
      </c>
      <c r="M30" s="134" t="s">
        <v>90</v>
      </c>
      <c r="N30" s="134">
        <v>5872.13</v>
      </c>
      <c r="O30" s="95">
        <v>612.13</v>
      </c>
      <c r="P30" s="98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20"/>
      <c r="AC30" s="6"/>
      <c r="AD30" s="6"/>
      <c r="AE30" s="20"/>
    </row>
    <row r="31" spans="1:32" s="3" customFormat="1" ht="27" customHeight="1">
      <c r="A31" s="31">
        <v>9</v>
      </c>
      <c r="B31" s="10"/>
      <c r="C31" s="8" t="str">
        <f t="shared" si="13"/>
        <v>POLICIA DE LINEA</v>
      </c>
      <c r="D31" s="20">
        <f t="shared" si="14"/>
        <v>391.47533333333337</v>
      </c>
      <c r="E31" s="20">
        <f t="shared" si="15"/>
        <v>40.808666666666667</v>
      </c>
      <c r="F31" s="20">
        <f t="shared" si="16"/>
        <v>350.66666666666669</v>
      </c>
      <c r="G31" s="24"/>
      <c r="H31" s="84">
        <f t="shared" si="17"/>
        <v>391.47533333333337</v>
      </c>
      <c r="I31" s="84">
        <f t="shared" si="18"/>
        <v>40.808666666666667</v>
      </c>
      <c r="J31" s="86">
        <f t="shared" si="19"/>
        <v>350.66666666666669</v>
      </c>
      <c r="K31" s="134"/>
      <c r="L31" s="134" t="s">
        <v>160</v>
      </c>
      <c r="M31" s="134" t="s">
        <v>90</v>
      </c>
      <c r="N31" s="97">
        <v>5872.13</v>
      </c>
      <c r="O31" s="95">
        <v>612.13</v>
      </c>
      <c r="P31" s="98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20"/>
      <c r="AC31" s="6"/>
      <c r="AD31" s="6"/>
      <c r="AE31" s="20"/>
    </row>
    <row r="32" spans="1:32" s="3" customFormat="1" ht="27" customHeight="1">
      <c r="A32" s="31">
        <v>10</v>
      </c>
      <c r="B32" s="10"/>
      <c r="C32" s="8" t="str">
        <f t="shared" si="13"/>
        <v>POLICIA DE LINEA</v>
      </c>
      <c r="D32" s="20">
        <f t="shared" si="14"/>
        <v>391.47533333333337</v>
      </c>
      <c r="E32" s="20">
        <f t="shared" si="15"/>
        <v>40.808666666666667</v>
      </c>
      <c r="F32" s="20">
        <f t="shared" si="16"/>
        <v>350.66666666666669</v>
      </c>
      <c r="G32" s="24"/>
      <c r="H32" s="84">
        <f t="shared" si="17"/>
        <v>391.47533333333337</v>
      </c>
      <c r="I32" s="84">
        <f t="shared" si="18"/>
        <v>40.808666666666667</v>
      </c>
      <c r="J32" s="86">
        <f t="shared" si="19"/>
        <v>350.66666666666669</v>
      </c>
      <c r="K32" s="134"/>
      <c r="L32" s="134" t="s">
        <v>164</v>
      </c>
      <c r="M32" s="134" t="s">
        <v>90</v>
      </c>
      <c r="N32" s="97">
        <v>5872.13</v>
      </c>
      <c r="O32" s="95">
        <v>612.13</v>
      </c>
      <c r="P32" s="98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20"/>
      <c r="AC32" s="6"/>
      <c r="AD32" s="6"/>
      <c r="AE32" s="20"/>
    </row>
    <row r="33" spans="1:34" s="3" customFormat="1" ht="27" customHeight="1">
      <c r="A33" s="31">
        <v>11</v>
      </c>
      <c r="B33" s="10"/>
      <c r="C33" s="8" t="str">
        <f t="shared" si="13"/>
        <v>POLICIA DE LINEA</v>
      </c>
      <c r="D33" s="20">
        <f t="shared" si="14"/>
        <v>391.47533333333337</v>
      </c>
      <c r="E33" s="20">
        <f t="shared" si="15"/>
        <v>40.808666666666667</v>
      </c>
      <c r="F33" s="20">
        <f t="shared" si="16"/>
        <v>350.66666666666669</v>
      </c>
      <c r="G33" s="24"/>
      <c r="H33" s="84">
        <f t="shared" si="17"/>
        <v>391.47533333333337</v>
      </c>
      <c r="I33" s="84">
        <f t="shared" si="18"/>
        <v>40.808666666666667</v>
      </c>
      <c r="J33" s="86">
        <f t="shared" si="19"/>
        <v>350.66666666666669</v>
      </c>
      <c r="K33" s="134"/>
      <c r="L33" s="134" t="s">
        <v>207</v>
      </c>
      <c r="M33" s="134" t="s">
        <v>90</v>
      </c>
      <c r="N33" s="97">
        <v>5872.13</v>
      </c>
      <c r="O33" s="95">
        <v>612.13</v>
      </c>
      <c r="P33" s="98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20"/>
      <c r="AC33" s="6"/>
      <c r="AD33" s="6"/>
      <c r="AE33" s="20"/>
    </row>
    <row r="34" spans="1:34" s="3" customFormat="1" ht="27" customHeight="1">
      <c r="A34" s="31"/>
      <c r="B34" s="10"/>
      <c r="C34" s="67" t="s">
        <v>165</v>
      </c>
      <c r="D34" s="63">
        <f>SUM(D23:D33)</f>
        <v>4388.532666666667</v>
      </c>
      <c r="E34" s="63">
        <f t="shared" ref="E34:G34" si="21">SUM(E23:E33)</f>
        <v>465.8660000000001</v>
      </c>
      <c r="F34" s="63">
        <f t="shared" si="21"/>
        <v>3922.6666666666661</v>
      </c>
      <c r="G34" s="63">
        <f t="shared" si="21"/>
        <v>0</v>
      </c>
      <c r="H34" s="84"/>
      <c r="I34" s="84"/>
      <c r="J34" s="86"/>
      <c r="K34" s="134"/>
      <c r="L34" s="134"/>
      <c r="M34" s="134"/>
      <c r="N34" s="97"/>
      <c r="O34" s="95"/>
      <c r="P34" s="98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20"/>
      <c r="AC34" s="6"/>
      <c r="AD34" s="6"/>
      <c r="AE34" s="20"/>
    </row>
    <row r="35" spans="1:34" s="3" customFormat="1" ht="27" customHeight="1">
      <c r="A35" s="31"/>
      <c r="B35" s="10"/>
      <c r="C35" s="6"/>
      <c r="D35" s="20"/>
      <c r="E35" s="20"/>
      <c r="F35" s="20"/>
      <c r="G35" s="24"/>
      <c r="H35" s="84"/>
      <c r="I35" s="84"/>
      <c r="J35" s="86"/>
      <c r="K35" s="134"/>
      <c r="L35" s="134"/>
      <c r="M35" s="134"/>
      <c r="N35" s="97"/>
      <c r="O35" s="95"/>
      <c r="P35" s="98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20"/>
      <c r="AC35" s="6"/>
      <c r="AD35" s="6"/>
      <c r="AE35" s="20"/>
    </row>
    <row r="36" spans="1:34" s="3" customFormat="1" ht="27" customHeight="1">
      <c r="A36" s="31"/>
      <c r="B36" s="10" t="s">
        <v>220</v>
      </c>
      <c r="C36" s="6"/>
      <c r="D36" s="20"/>
      <c r="E36" s="20"/>
      <c r="F36" s="20"/>
      <c r="G36" s="24"/>
      <c r="H36" s="84"/>
      <c r="I36" s="84"/>
      <c r="J36" s="86"/>
      <c r="K36" s="134"/>
      <c r="L36" s="134"/>
      <c r="M36" s="134"/>
      <c r="N36" s="134"/>
      <c r="O36" s="97"/>
      <c r="P36" s="98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20"/>
      <c r="AD36" s="6"/>
      <c r="AE36" s="6"/>
      <c r="AF36" s="20"/>
    </row>
    <row r="37" spans="1:34" s="3" customFormat="1" ht="27" customHeight="1">
      <c r="A37" s="31"/>
      <c r="B37" s="10" t="str">
        <f>+B13</f>
        <v>IXTLAHUACAN DEL RIO JALISCO A 15 DE JUNIO DE 2019</v>
      </c>
      <c r="C37" s="6"/>
      <c r="D37" s="20"/>
      <c r="E37" s="20"/>
      <c r="F37" s="20"/>
      <c r="G37" s="24"/>
      <c r="H37" s="84"/>
      <c r="I37" s="84"/>
      <c r="J37" s="86"/>
      <c r="K37" s="134"/>
      <c r="L37" s="134"/>
      <c r="M37" s="134"/>
      <c r="N37" s="134"/>
      <c r="O37" s="95"/>
      <c r="P37" s="97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20"/>
      <c r="AE37" s="6"/>
      <c r="AF37" s="6"/>
      <c r="AG37" s="20"/>
    </row>
    <row r="38" spans="1:34" s="3" customFormat="1" ht="27" customHeight="1">
      <c r="A38" s="31"/>
      <c r="B38" s="10"/>
      <c r="C38" s="6"/>
      <c r="D38" s="20"/>
      <c r="E38" s="20"/>
      <c r="F38" s="20"/>
      <c r="G38" s="24"/>
      <c r="H38" s="84"/>
      <c r="I38" s="84"/>
      <c r="J38" s="86"/>
      <c r="K38" s="134"/>
      <c r="L38" s="134"/>
      <c r="M38" s="134"/>
      <c r="N38" s="134"/>
      <c r="O38" s="95"/>
      <c r="P38" s="97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20"/>
      <c r="AE38" s="6"/>
      <c r="AF38" s="6"/>
      <c r="AG38" s="20"/>
    </row>
    <row r="39" spans="1:34" s="3" customFormat="1" ht="27" customHeight="1">
      <c r="A39" s="31"/>
      <c r="B39" s="10"/>
      <c r="C39" s="6"/>
      <c r="D39" s="20"/>
      <c r="E39" s="20"/>
      <c r="F39" s="20"/>
      <c r="G39" s="24"/>
      <c r="H39" s="84"/>
      <c r="I39" s="84"/>
      <c r="J39" s="86"/>
      <c r="K39" s="134"/>
      <c r="L39" s="134"/>
      <c r="M39" s="134"/>
      <c r="N39" s="134"/>
      <c r="O39" s="95"/>
      <c r="P39" s="97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20"/>
      <c r="AE39" s="6"/>
      <c r="AF39" s="6"/>
      <c r="AG39" s="20"/>
    </row>
    <row r="40" spans="1:34" s="3" customFormat="1" ht="27" customHeight="1">
      <c r="A40" s="31"/>
      <c r="B40" s="10"/>
      <c r="C40" s="6"/>
      <c r="D40" s="20"/>
      <c r="E40" s="20"/>
      <c r="F40" s="20"/>
      <c r="G40" s="24"/>
      <c r="H40" s="84"/>
      <c r="I40" s="84"/>
      <c r="J40" s="86"/>
      <c r="K40" s="134"/>
      <c r="L40" s="134"/>
      <c r="M40" s="134"/>
      <c r="N40" s="134"/>
      <c r="O40" s="97"/>
      <c r="P40" s="134"/>
      <c r="Q40" s="2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20"/>
      <c r="AF40" s="6"/>
      <c r="AG40" s="6"/>
      <c r="AH40" s="20"/>
    </row>
    <row r="41" spans="1:34" s="3" customFormat="1" ht="27" customHeight="1">
      <c r="A41" s="9"/>
      <c r="B41" s="10"/>
      <c r="C41" s="26"/>
      <c r="D41" s="4"/>
      <c r="E41" s="4"/>
      <c r="F41" s="4"/>
      <c r="G41" s="24"/>
      <c r="H41" s="84"/>
      <c r="I41" s="91"/>
      <c r="J41" s="86"/>
      <c r="K41" s="87"/>
      <c r="L41" s="110"/>
      <c r="M41" s="118"/>
      <c r="N41" s="118"/>
      <c r="O41" s="131"/>
      <c r="P41" s="118"/>
      <c r="Q41" s="2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20"/>
      <c r="AF41" s="6"/>
      <c r="AG41" s="6"/>
      <c r="AH41" s="20"/>
    </row>
    <row r="42" spans="1:34" s="3" customFormat="1" ht="27" customHeight="1">
      <c r="A42" s="9"/>
      <c r="B42" s="10"/>
      <c r="C42" s="26"/>
      <c r="D42" s="32"/>
      <c r="E42" s="32"/>
      <c r="F42" s="32"/>
      <c r="G42" s="24"/>
      <c r="H42" s="84"/>
      <c r="I42" s="91"/>
      <c r="J42" s="86"/>
      <c r="K42" s="87"/>
      <c r="L42" s="110"/>
      <c r="M42" s="118"/>
      <c r="N42" s="118"/>
      <c r="O42" s="131"/>
      <c r="P42" s="118"/>
      <c r="Q42" s="2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20"/>
      <c r="AF42" s="6"/>
      <c r="AG42" s="6"/>
      <c r="AH42" s="20"/>
    </row>
    <row r="43" spans="1:34" s="3" customFormat="1" ht="27" customHeight="1">
      <c r="A43" s="9"/>
      <c r="C43" s="30"/>
      <c r="D43" s="4"/>
      <c r="E43" s="4"/>
      <c r="F43" s="4"/>
      <c r="G43" s="24" t="s">
        <v>18</v>
      </c>
      <c r="H43" s="84"/>
      <c r="I43" s="91"/>
      <c r="J43" s="86">
        <f>SUM(H43-I43)</f>
        <v>0</v>
      </c>
      <c r="K43" s="87"/>
      <c r="L43" s="110"/>
      <c r="M43" s="118"/>
      <c r="N43" s="120"/>
      <c r="O43" s="131"/>
      <c r="P43" s="131"/>
      <c r="Q43" s="2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20"/>
      <c r="AF43" s="6"/>
      <c r="AG43" s="6"/>
      <c r="AH43" s="20"/>
    </row>
    <row r="44" spans="1:34" s="3" customFormat="1" ht="27" customHeight="1">
      <c r="A44" s="9"/>
      <c r="C44" s="26"/>
      <c r="D44" s="4"/>
      <c r="E44" s="4"/>
      <c r="F44" s="4"/>
      <c r="G44" s="24" t="s">
        <v>18</v>
      </c>
      <c r="H44" s="84"/>
      <c r="I44" s="91"/>
      <c r="J44" s="86">
        <f>SUM(H44-I44)</f>
        <v>0</v>
      </c>
      <c r="K44" s="87"/>
      <c r="L44" s="109"/>
      <c r="M44" s="95"/>
      <c r="N44" s="117"/>
      <c r="O44" s="131"/>
      <c r="P44" s="131"/>
      <c r="Q44" s="2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20"/>
      <c r="AF44" s="6"/>
      <c r="AG44" s="6"/>
      <c r="AH44" s="20"/>
    </row>
    <row r="45" spans="1:34" s="3" customFormat="1" ht="27" customHeight="1">
      <c r="A45" s="9"/>
      <c r="B45" s="10"/>
      <c r="C45" s="26"/>
      <c r="D45" s="28"/>
      <c r="E45" s="28"/>
      <c r="F45" s="21"/>
      <c r="G45" s="24" t="s">
        <v>18</v>
      </c>
      <c r="H45" s="91"/>
      <c r="I45" s="91"/>
      <c r="J45" s="86"/>
      <c r="K45" s="98"/>
      <c r="L45" s="98"/>
      <c r="M45" s="95"/>
      <c r="N45" s="117"/>
      <c r="O45" s="131"/>
      <c r="P45" s="131"/>
      <c r="Q45" s="2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20"/>
      <c r="AF45" s="6"/>
      <c r="AG45" s="6"/>
      <c r="AH45" s="20"/>
    </row>
    <row r="53" spans="3:6" ht="27" customHeight="1">
      <c r="D53" s="20"/>
      <c r="E53" s="20"/>
      <c r="F53" s="20"/>
    </row>
    <row r="54" spans="3:6" ht="27" customHeight="1">
      <c r="D54" s="20"/>
      <c r="E54" s="20"/>
      <c r="F54" s="20"/>
    </row>
    <row r="55" spans="3:6" ht="27" customHeight="1">
      <c r="D55" s="20"/>
      <c r="E55" s="20"/>
      <c r="F55" s="20"/>
    </row>
    <row r="56" spans="3:6" ht="27" customHeight="1">
      <c r="D56" s="20"/>
      <c r="E56" s="20"/>
      <c r="F56" s="20"/>
    </row>
    <row r="57" spans="3:6" ht="27" customHeight="1">
      <c r="C57" s="62"/>
      <c r="D57" s="63"/>
      <c r="E57" s="63"/>
      <c r="F57" s="63"/>
    </row>
  </sheetData>
  <mergeCells count="8">
    <mergeCell ref="A21:G21"/>
    <mergeCell ref="A22:G22"/>
    <mergeCell ref="A1:G1"/>
    <mergeCell ref="A2:G2"/>
    <mergeCell ref="A3:G3"/>
    <mergeCell ref="A4:G4"/>
    <mergeCell ref="A19:G19"/>
    <mergeCell ref="A20:G20"/>
  </mergeCells>
  <pageMargins left="0.23622047244094491" right="0.23622047244094491" top="0.74803149606299213" bottom="0.74803149606299213" header="0.31496062992125984" footer="0.31496062992125984"/>
  <pageSetup scale="5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8"/>
  <sheetViews>
    <sheetView zoomScale="80" zoomScaleNormal="80" workbookViewId="0">
      <selection activeCell="B45" sqref="B45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45.5703125" style="30" bestFit="1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37" style="6" customWidth="1"/>
    <col min="8" max="8" width="11.42578125" style="84"/>
    <col min="9" max="9" width="9.5703125" style="91" customWidth="1"/>
    <col min="10" max="10" width="17.5703125" style="86" customWidth="1"/>
    <col min="11" max="11" width="23.42578125" style="109" customWidth="1"/>
    <col min="12" max="12" width="9.7109375" style="95" customWidth="1"/>
    <col min="13" max="13" width="10" style="117" bestFit="1" customWidth="1"/>
    <col min="14" max="14" width="7.85546875" style="131" bestFit="1" customWidth="1"/>
    <col min="15" max="15" width="7.7109375" style="131" bestFit="1" customWidth="1"/>
    <col min="16" max="16" width="11.7109375" style="2" customWidth="1"/>
    <col min="17" max="17" width="6.85546875" style="6" customWidth="1"/>
    <col min="18" max="18" width="13.85546875" style="6" customWidth="1"/>
    <col min="19" max="19" width="11.7109375" style="6" customWidth="1"/>
    <col min="20" max="20" width="43.42578125" style="6" customWidth="1"/>
    <col min="21" max="29" width="11.7109375" style="6" customWidth="1"/>
    <col min="30" max="30" width="11.7109375" style="20" customWidth="1"/>
    <col min="31" max="32" width="11.7109375" style="6" customWidth="1"/>
    <col min="33" max="33" width="11.7109375" style="20" customWidth="1"/>
    <col min="34" max="34" width="11.7109375" style="6" customWidth="1"/>
    <col min="35" max="35" width="2.28515625" style="6" customWidth="1"/>
    <col min="36" max="36" width="15.5703125" style="6" customWidth="1"/>
    <col min="37" max="37" width="11.42578125" style="6" customWidth="1"/>
    <col min="38" max="38" width="11.42578125" style="6"/>
    <col min="39" max="39" width="11.42578125" style="6" customWidth="1"/>
    <col min="40" max="40" width="42.28515625" style="6" customWidth="1"/>
    <col min="41" max="16384" width="11.42578125" style="6"/>
  </cols>
  <sheetData>
    <row r="1" spans="1:34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4" s="175" customFormat="1" ht="27" customHeight="1">
      <c r="A2" s="247" t="s">
        <v>153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4" s="175" customFormat="1" ht="27" customHeight="1">
      <c r="A3" s="235" t="s">
        <v>181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4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4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4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4" ht="27" customHeight="1">
      <c r="A7" s="31">
        <v>1</v>
      </c>
      <c r="B7" s="10" t="str">
        <f>+K7</f>
        <v xml:space="preserve">PINTO GONNZALEZ L.N MARIA DE LA LUZ  </v>
      </c>
      <c r="C7" s="6" t="str">
        <f>+L7</f>
        <v>JEFE DE DEPARTAMENTO DEL REGISTRO CIVIL</v>
      </c>
      <c r="D7" s="66">
        <f>H7</f>
        <v>364</v>
      </c>
      <c r="E7" s="20">
        <f>I7</f>
        <v>34.64</v>
      </c>
      <c r="F7" s="20">
        <f>D7-E7</f>
        <v>329.36</v>
      </c>
      <c r="G7" s="24" t="s">
        <v>18</v>
      </c>
      <c r="H7" s="84">
        <f>364*1</f>
        <v>364</v>
      </c>
      <c r="I7" s="91">
        <f>34.64*1</f>
        <v>34.64</v>
      </c>
      <c r="J7" s="86">
        <f t="shared" ref="J7" si="0">SUM(H7-I7)</f>
        <v>329.36</v>
      </c>
      <c r="K7" s="134" t="s">
        <v>155</v>
      </c>
      <c r="L7" s="134" t="s">
        <v>26</v>
      </c>
      <c r="M7" s="135">
        <v>8714.74</v>
      </c>
      <c r="N7" s="138">
        <v>1214.74</v>
      </c>
      <c r="O7" s="138">
        <v>0</v>
      </c>
      <c r="Q7" s="2"/>
      <c r="R7" s="3"/>
      <c r="AB7" s="20"/>
      <c r="AD7" s="6"/>
      <c r="AE7" s="20"/>
      <c r="AG7" s="6"/>
    </row>
    <row r="8" spans="1:34" s="3" customFormat="1" ht="27" customHeight="1">
      <c r="A8" s="31">
        <v>2</v>
      </c>
      <c r="B8" s="10" t="str">
        <f>+K8</f>
        <v>ALMARAZ MARTINEZ MARTIN</v>
      </c>
      <c r="C8" s="6" t="str">
        <f>+L8</f>
        <v>DEPARTAMENTO DE MANTENIMIENTO VEHICULAR</v>
      </c>
      <c r="D8" s="20">
        <f>H8</f>
        <v>470.77600000000001</v>
      </c>
      <c r="E8" s="20">
        <f>I8</f>
        <v>57.442666666666668</v>
      </c>
      <c r="F8" s="20">
        <f t="shared" ref="F8" si="1">D8-E8</f>
        <v>413.33333333333337</v>
      </c>
      <c r="G8" s="24"/>
      <c r="H8" s="84">
        <f>+M8/15</f>
        <v>470.77600000000001</v>
      </c>
      <c r="I8" s="84">
        <f>+O8/15</f>
        <v>57.442666666666668</v>
      </c>
      <c r="J8" s="86">
        <f t="shared" ref="J8" si="2">+H8-I8</f>
        <v>413.33333333333337</v>
      </c>
      <c r="K8" s="146" t="s">
        <v>31</v>
      </c>
      <c r="L8" s="148" t="s">
        <v>32</v>
      </c>
      <c r="M8" s="97">
        <v>7061.64</v>
      </c>
      <c r="N8" s="95">
        <v>0</v>
      </c>
      <c r="O8" s="95">
        <v>861.64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0"/>
      <c r="AC8" s="6"/>
      <c r="AD8" s="6"/>
      <c r="AE8" s="20"/>
    </row>
    <row r="9" spans="1:34" ht="27" customHeight="1">
      <c r="A9" s="31">
        <v>3</v>
      </c>
      <c r="B9" s="8" t="str">
        <f t="shared" ref="B9:B27" si="3">+K9</f>
        <v xml:space="preserve">ALVAREZ DEL CASTILLO SANCHEZ JORGE ENRIQUE </v>
      </c>
      <c r="C9" s="6" t="str">
        <f t="shared" ref="C9:C27" si="4">+L9</f>
        <v>CHOFER DE CAMION ESCOLAR</v>
      </c>
      <c r="D9" s="20">
        <f>H9*3.67804818243</f>
        <v>1090.0999203086035</v>
      </c>
      <c r="E9" s="20">
        <f>I9*3.67804818243</f>
        <v>90.099920308926897</v>
      </c>
      <c r="F9" s="20">
        <f t="shared" ref="F9:F27" si="5">D9-E9</f>
        <v>999.99999999967656</v>
      </c>
      <c r="G9" s="24"/>
      <c r="H9" s="84">
        <f t="shared" ref="H9:H27" si="6">+M9/15</f>
        <v>296.38</v>
      </c>
      <c r="I9" s="84">
        <f t="shared" ref="I9:I27" si="7">+O9/15</f>
        <v>24.496666666666666</v>
      </c>
      <c r="J9" s="150">
        <f t="shared" ref="J9:J42" si="8">+H9-I9</f>
        <v>271.88333333333333</v>
      </c>
      <c r="K9" s="154" t="s">
        <v>127</v>
      </c>
      <c r="L9" s="148" t="s">
        <v>128</v>
      </c>
      <c r="M9" s="141">
        <v>4445.7</v>
      </c>
      <c r="N9" s="138">
        <v>0</v>
      </c>
      <c r="O9" s="138">
        <v>367.45</v>
      </c>
      <c r="Q9" s="2"/>
      <c r="R9" s="3"/>
      <c r="AB9" s="20"/>
      <c r="AD9" s="6"/>
      <c r="AE9" s="20"/>
      <c r="AG9" s="6"/>
    </row>
    <row r="10" spans="1:34" s="3" customFormat="1" ht="27" customHeight="1">
      <c r="A10" s="31">
        <v>4</v>
      </c>
      <c r="B10" s="10" t="str">
        <f t="shared" si="3"/>
        <v xml:space="preserve">CARBAJAL HERNANDEZ ROBERTO </v>
      </c>
      <c r="C10" s="6" t="str">
        <f t="shared" si="4"/>
        <v>CUADRILLA AGUA POTABLE Y ALCAN</v>
      </c>
      <c r="D10" s="20">
        <f>H10*12.7682239035</f>
        <v>3818.2096761026401</v>
      </c>
      <c r="E10" s="20">
        <f>I10*12.7682239035</f>
        <v>318.20967612302701</v>
      </c>
      <c r="F10" s="20">
        <f t="shared" si="5"/>
        <v>3499.9999999796132</v>
      </c>
      <c r="G10" s="24"/>
      <c r="H10" s="84">
        <f t="shared" si="6"/>
        <v>299.04000000000002</v>
      </c>
      <c r="I10" s="84">
        <f t="shared" si="7"/>
        <v>24.922000000000001</v>
      </c>
      <c r="J10" s="151">
        <f t="shared" si="8"/>
        <v>274.11799999999999</v>
      </c>
      <c r="K10" s="98" t="s">
        <v>131</v>
      </c>
      <c r="L10" s="144" t="s">
        <v>57</v>
      </c>
      <c r="M10" s="134">
        <v>4485.6000000000004</v>
      </c>
      <c r="N10" s="134">
        <v>0</v>
      </c>
      <c r="O10" s="97">
        <v>373.83</v>
      </c>
      <c r="P10" s="2"/>
      <c r="Q10" s="2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20"/>
      <c r="AF10" s="6"/>
      <c r="AG10" s="6"/>
      <c r="AH10" s="20"/>
    </row>
    <row r="11" spans="1:34" s="3" customFormat="1" ht="27" customHeight="1">
      <c r="A11" s="31">
        <v>5</v>
      </c>
      <c r="B11" s="10" t="str">
        <f t="shared" si="3"/>
        <v xml:space="preserve">CORONA OLVERA SALVADOR </v>
      </c>
      <c r="C11" s="6" t="str">
        <f t="shared" si="4"/>
        <v>CHOFER DE CAMION ESCOLAR</v>
      </c>
      <c r="D11" s="20">
        <f>H11*6.20089664965</f>
        <v>2214.9602832549799</v>
      </c>
      <c r="E11" s="20">
        <f>I11*6.20089664965</f>
        <v>214.96028325676693</v>
      </c>
      <c r="F11" s="20">
        <f t="shared" si="5"/>
        <v>1999.9999999982131</v>
      </c>
      <c r="G11" s="24"/>
      <c r="H11" s="84">
        <f t="shared" si="6"/>
        <v>357.2</v>
      </c>
      <c r="I11" s="84">
        <f t="shared" si="7"/>
        <v>34.666000000000004</v>
      </c>
      <c r="J11" s="151">
        <f t="shared" si="8"/>
        <v>322.53399999999999</v>
      </c>
      <c r="K11" s="98" t="s">
        <v>134</v>
      </c>
      <c r="L11" s="155" t="s">
        <v>128</v>
      </c>
      <c r="M11" s="134">
        <v>5358</v>
      </c>
      <c r="N11" s="134">
        <v>0</v>
      </c>
      <c r="O11" s="97">
        <v>519.99</v>
      </c>
      <c r="P11" s="2"/>
      <c r="Q11" s="2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20"/>
      <c r="AF11" s="6"/>
      <c r="AG11" s="6"/>
      <c r="AH11" s="20"/>
    </row>
    <row r="12" spans="1:34" s="3" customFormat="1" ht="27" customHeight="1">
      <c r="A12" s="31">
        <v>6</v>
      </c>
      <c r="B12" s="10" t="str">
        <f t="shared" si="3"/>
        <v xml:space="preserve">DELGADILLO SANCHEZ ROBERTO CARLOS </v>
      </c>
      <c r="C12" s="6" t="str">
        <f t="shared" si="4"/>
        <v>BASURA</v>
      </c>
      <c r="D12" s="20">
        <f t="shared" ref="D12:D21" si="9">H12</f>
        <v>224.43733333333333</v>
      </c>
      <c r="E12" s="20">
        <f t="shared" ref="E12:E21" si="10">I12</f>
        <v>7.7706666666666671</v>
      </c>
      <c r="F12" s="20">
        <f t="shared" si="5"/>
        <v>216.66666666666666</v>
      </c>
      <c r="G12" s="24"/>
      <c r="H12" s="84">
        <f t="shared" si="6"/>
        <v>224.43733333333333</v>
      </c>
      <c r="I12" s="84">
        <f t="shared" si="7"/>
        <v>7.7706666666666671</v>
      </c>
      <c r="J12" s="86">
        <f t="shared" si="8"/>
        <v>216.66666666666666</v>
      </c>
      <c r="K12" s="134" t="s">
        <v>135</v>
      </c>
      <c r="L12" s="148" t="s">
        <v>133</v>
      </c>
      <c r="M12" s="141">
        <v>3366.56</v>
      </c>
      <c r="N12" s="91"/>
      <c r="O12" s="97">
        <v>116.56</v>
      </c>
      <c r="P12" s="2"/>
      <c r="Q12" s="2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20"/>
      <c r="AF12" s="6"/>
      <c r="AG12" s="6"/>
      <c r="AH12" s="20"/>
    </row>
    <row r="13" spans="1:34" s="3" customFormat="1" ht="27" customHeight="1">
      <c r="A13" s="31">
        <v>7</v>
      </c>
      <c r="B13" s="10" t="str">
        <f t="shared" si="3"/>
        <v xml:space="preserve">GOMEZ LOZA SANTIAGO </v>
      </c>
      <c r="C13" s="6" t="str">
        <f t="shared" si="4"/>
        <v>AYUDANTE SIST. AGUA</v>
      </c>
      <c r="D13" s="20">
        <f t="shared" si="9"/>
        <v>269.93333333333334</v>
      </c>
      <c r="E13" s="20">
        <f t="shared" si="10"/>
        <v>21.172000000000001</v>
      </c>
      <c r="F13" s="20">
        <f t="shared" si="5"/>
        <v>248.76133333333334</v>
      </c>
      <c r="G13" s="24"/>
      <c r="H13" s="84">
        <f t="shared" si="6"/>
        <v>269.93333333333334</v>
      </c>
      <c r="I13" s="84">
        <f t="shared" si="7"/>
        <v>21.172000000000001</v>
      </c>
      <c r="J13" s="86">
        <f t="shared" si="8"/>
        <v>248.76133333333334</v>
      </c>
      <c r="K13" s="98" t="s">
        <v>182</v>
      </c>
      <c r="L13" s="156" t="s">
        <v>183</v>
      </c>
      <c r="M13" s="134">
        <v>4049</v>
      </c>
      <c r="N13" s="134">
        <v>0</v>
      </c>
      <c r="O13" s="134">
        <v>317.58</v>
      </c>
      <c r="P13" s="2"/>
      <c r="Q13" s="2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20"/>
      <c r="AF13" s="6"/>
      <c r="AG13" s="6"/>
      <c r="AH13" s="20"/>
    </row>
    <row r="14" spans="1:34" s="3" customFormat="1" ht="27" customHeight="1">
      <c r="A14" s="31">
        <v>8</v>
      </c>
      <c r="B14" s="10" t="str">
        <f t="shared" si="3"/>
        <v xml:space="preserve">GONZALEZ LIMON JOSE CARLOS </v>
      </c>
      <c r="C14" s="6" t="str">
        <f t="shared" si="4"/>
        <v>UNIDAD DE REHABILITACION DE ESCUELAS</v>
      </c>
      <c r="D14" s="20">
        <f t="shared" si="9"/>
        <v>244.48266666666666</v>
      </c>
      <c r="E14" s="20">
        <f t="shared" si="10"/>
        <v>11.149333333333335</v>
      </c>
      <c r="F14" s="20">
        <f t="shared" si="5"/>
        <v>233.33333333333331</v>
      </c>
      <c r="G14" s="24"/>
      <c r="H14" s="84">
        <f t="shared" si="6"/>
        <v>244.48266666666666</v>
      </c>
      <c r="I14" s="84">
        <f t="shared" si="7"/>
        <v>11.149333333333335</v>
      </c>
      <c r="J14" s="86">
        <f t="shared" si="8"/>
        <v>233.33333333333331</v>
      </c>
      <c r="K14" s="98" t="s">
        <v>68</v>
      </c>
      <c r="L14" s="144" t="s">
        <v>69</v>
      </c>
      <c r="M14" s="134">
        <v>3667.24</v>
      </c>
      <c r="N14" s="134">
        <v>0</v>
      </c>
      <c r="O14" s="134">
        <v>167.24</v>
      </c>
      <c r="P14" s="2"/>
      <c r="Q14" s="2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20"/>
      <c r="AF14" s="6"/>
      <c r="AG14" s="6"/>
      <c r="AH14" s="20"/>
    </row>
    <row r="15" spans="1:34" s="3" customFormat="1" ht="27" customHeight="1">
      <c r="A15" s="31">
        <v>9</v>
      </c>
      <c r="B15" s="10" t="str">
        <f t="shared" si="3"/>
        <v xml:space="preserve">GONZALEZ VAZQUEZ JORGE ARMANDO </v>
      </c>
      <c r="C15" s="6" t="str">
        <f t="shared" si="4"/>
        <v>BASURA</v>
      </c>
      <c r="D15" s="20">
        <f>H15*2</f>
        <v>336</v>
      </c>
      <c r="E15" s="20">
        <f t="shared" si="10"/>
        <v>0</v>
      </c>
      <c r="F15" s="20">
        <f t="shared" si="5"/>
        <v>336</v>
      </c>
      <c r="G15" s="24"/>
      <c r="H15" s="84">
        <f t="shared" si="6"/>
        <v>168</v>
      </c>
      <c r="I15" s="84">
        <f t="shared" si="7"/>
        <v>0</v>
      </c>
      <c r="J15" s="86">
        <f t="shared" si="8"/>
        <v>168</v>
      </c>
      <c r="K15" s="146" t="s">
        <v>156</v>
      </c>
      <c r="L15" s="148" t="s">
        <v>133</v>
      </c>
      <c r="M15" s="134">
        <v>2520</v>
      </c>
      <c r="N15" s="134">
        <v>11.21</v>
      </c>
      <c r="O15" s="134">
        <v>0</v>
      </c>
      <c r="P15" s="2"/>
      <c r="Q15" s="2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20"/>
      <c r="AF15" s="6"/>
      <c r="AG15" s="6"/>
      <c r="AH15" s="20"/>
    </row>
    <row r="16" spans="1:34" s="3" customFormat="1" ht="27" customHeight="1">
      <c r="A16" s="31">
        <v>10</v>
      </c>
      <c r="B16" s="10" t="str">
        <f t="shared" si="3"/>
        <v xml:space="preserve">GUTIERREZ CALVILLO PABLO </v>
      </c>
      <c r="C16" s="6" t="str">
        <f t="shared" si="4"/>
        <v>CUADRILLA AGUA POTABLE Y ALCAN</v>
      </c>
      <c r="D16" s="20">
        <f t="shared" si="9"/>
        <v>244.48266666666666</v>
      </c>
      <c r="E16" s="20">
        <f t="shared" si="10"/>
        <v>11.149333333333335</v>
      </c>
      <c r="F16" s="20">
        <f t="shared" si="5"/>
        <v>233.33333333333331</v>
      </c>
      <c r="G16" s="24"/>
      <c r="H16" s="84">
        <f t="shared" si="6"/>
        <v>244.48266666666666</v>
      </c>
      <c r="I16" s="84">
        <f t="shared" si="7"/>
        <v>11.149333333333335</v>
      </c>
      <c r="J16" s="86">
        <f t="shared" si="8"/>
        <v>233.33333333333331</v>
      </c>
      <c r="K16" s="98" t="s">
        <v>184</v>
      </c>
      <c r="L16" s="155" t="s">
        <v>57</v>
      </c>
      <c r="M16" s="134">
        <v>3667.24</v>
      </c>
      <c r="N16" s="134">
        <v>0</v>
      </c>
      <c r="O16" s="134">
        <v>167.24</v>
      </c>
      <c r="P16" s="2"/>
      <c r="Q16" s="2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20"/>
      <c r="AF16" s="6"/>
      <c r="AG16" s="6"/>
      <c r="AH16" s="20"/>
    </row>
    <row r="17" spans="1:34" s="3" customFormat="1" ht="27" customHeight="1">
      <c r="A17" s="31">
        <v>11</v>
      </c>
      <c r="B17" s="10" t="str">
        <f t="shared" si="3"/>
        <v>IBARRA DELGADO MARIA</v>
      </c>
      <c r="C17" s="6" t="str">
        <f t="shared" si="4"/>
        <v>AUXILIAR DE INTENDENCIA DE BAÑOS PUBLICOS</v>
      </c>
      <c r="D17" s="20">
        <f>H17*2</f>
        <v>218.48133333333331</v>
      </c>
      <c r="E17" s="20">
        <f t="shared" si="10"/>
        <v>0</v>
      </c>
      <c r="F17" s="20">
        <f t="shared" si="5"/>
        <v>218.48133333333331</v>
      </c>
      <c r="G17" s="24"/>
      <c r="H17" s="84">
        <f t="shared" si="6"/>
        <v>109.24066666666666</v>
      </c>
      <c r="I17" s="84">
        <f t="shared" si="7"/>
        <v>0</v>
      </c>
      <c r="J17" s="86">
        <f t="shared" ref="J17" si="11">SUM(H17-I17)</f>
        <v>109.24066666666666</v>
      </c>
      <c r="K17" s="98" t="s">
        <v>185</v>
      </c>
      <c r="L17" s="156" t="s">
        <v>186</v>
      </c>
      <c r="M17" s="144">
        <v>1638.61</v>
      </c>
      <c r="N17" s="97">
        <v>111.39</v>
      </c>
      <c r="O17" s="97"/>
      <c r="P17" s="2"/>
      <c r="Q17" s="2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20"/>
      <c r="AF17" s="6"/>
      <c r="AG17" s="6"/>
      <c r="AH17" s="20"/>
    </row>
    <row r="18" spans="1:34" s="3" customFormat="1" ht="27" customHeight="1">
      <c r="A18" s="31">
        <v>12</v>
      </c>
      <c r="B18" s="10" t="str">
        <f t="shared" si="3"/>
        <v xml:space="preserve">MARTINEZ GONZALEZ HECTOR MIGUEL </v>
      </c>
      <c r="C18" s="6" t="str">
        <f t="shared" si="4"/>
        <v>CHOFER DE CAMION ESCOLAR</v>
      </c>
      <c r="D18" s="20">
        <f>H18*3.02402283742</f>
        <v>1110.2135363324546</v>
      </c>
      <c r="E18" s="20">
        <f>I18*3.02402283742</f>
        <v>110.21353633260934</v>
      </c>
      <c r="F18" s="20">
        <f t="shared" si="5"/>
        <v>999.99999999984527</v>
      </c>
      <c r="G18" s="24"/>
      <c r="H18" s="84">
        <f t="shared" si="6"/>
        <v>367.13133333333337</v>
      </c>
      <c r="I18" s="84">
        <f t="shared" si="7"/>
        <v>36.446000000000005</v>
      </c>
      <c r="J18" s="150">
        <f t="shared" ref="J18:J22" si="12">+H18-I18</f>
        <v>330.68533333333335</v>
      </c>
      <c r="K18" s="98" t="s">
        <v>141</v>
      </c>
      <c r="L18" s="148" t="s">
        <v>128</v>
      </c>
      <c r="M18" s="134">
        <v>5506.97</v>
      </c>
      <c r="N18" s="134">
        <v>0</v>
      </c>
      <c r="O18" s="134">
        <v>546.69000000000005</v>
      </c>
      <c r="P18" s="2"/>
      <c r="Q18" s="2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20"/>
      <c r="AF18" s="6"/>
      <c r="AG18" s="6"/>
      <c r="AH18" s="20"/>
    </row>
    <row r="19" spans="1:34" s="3" customFormat="1" ht="27" customHeight="1">
      <c r="A19" s="31">
        <v>13</v>
      </c>
      <c r="B19" s="10" t="str">
        <f t="shared" si="3"/>
        <v xml:space="preserve">MORA GARCIA ADAN </v>
      </c>
      <c r="C19" s="6" t="str">
        <f t="shared" si="4"/>
        <v>DEPARTAMENTO DE MANTENIMIENTO EN GENERAL</v>
      </c>
      <c r="D19" s="20">
        <f>H19*3</f>
        <v>989.55799999999999</v>
      </c>
      <c r="E19" s="20">
        <f>I19*3</f>
        <v>89.558000000000007</v>
      </c>
      <c r="F19" s="20">
        <f t="shared" si="5"/>
        <v>900</v>
      </c>
      <c r="G19" s="24"/>
      <c r="H19" s="84">
        <f t="shared" si="6"/>
        <v>329.85266666666666</v>
      </c>
      <c r="I19" s="84">
        <f t="shared" si="7"/>
        <v>29.852666666666668</v>
      </c>
      <c r="J19" s="86">
        <f t="shared" si="12"/>
        <v>300</v>
      </c>
      <c r="K19" s="146" t="s">
        <v>76</v>
      </c>
      <c r="L19" s="148" t="s">
        <v>77</v>
      </c>
      <c r="M19" s="134">
        <v>4947.79</v>
      </c>
      <c r="N19" s="134">
        <v>0</v>
      </c>
      <c r="O19" s="134">
        <v>447.79</v>
      </c>
      <c r="P19" s="2"/>
      <c r="Q19" s="2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20"/>
      <c r="AF19" s="6"/>
      <c r="AG19" s="6"/>
      <c r="AH19" s="20"/>
    </row>
    <row r="20" spans="1:34" s="3" customFormat="1" ht="27" customHeight="1">
      <c r="A20" s="31">
        <v>14</v>
      </c>
      <c r="B20" s="10" t="str">
        <f t="shared" si="3"/>
        <v xml:space="preserve">RAMIREZ SANCHEZ JUAN MANUEL </v>
      </c>
      <c r="C20" s="6" t="str">
        <f t="shared" si="4"/>
        <v xml:space="preserve">JEFE DEL DEPARTAMENTO DE AGUA POTABLE </v>
      </c>
      <c r="D20" s="20">
        <f t="shared" si="9"/>
        <v>453.82133333333331</v>
      </c>
      <c r="E20" s="20">
        <f t="shared" si="10"/>
        <v>53.821333333333335</v>
      </c>
      <c r="F20" s="20">
        <f t="shared" si="5"/>
        <v>400</v>
      </c>
      <c r="G20" s="24"/>
      <c r="H20" s="84">
        <f t="shared" si="6"/>
        <v>453.82133333333331</v>
      </c>
      <c r="I20" s="84">
        <f t="shared" si="7"/>
        <v>53.821333333333335</v>
      </c>
      <c r="J20" s="86">
        <f t="shared" si="12"/>
        <v>400</v>
      </c>
      <c r="K20" s="134" t="s">
        <v>187</v>
      </c>
      <c r="L20" s="148" t="s">
        <v>188</v>
      </c>
      <c r="M20" s="134">
        <v>6807.32</v>
      </c>
      <c r="N20" s="134">
        <v>0</v>
      </c>
      <c r="O20" s="134">
        <v>807.32</v>
      </c>
      <c r="P20" s="2"/>
      <c r="Q20" s="2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20"/>
      <c r="AF20" s="6"/>
      <c r="AG20" s="6"/>
      <c r="AH20" s="20"/>
    </row>
    <row r="21" spans="1:34" s="3" customFormat="1" ht="27" customHeight="1">
      <c r="A21" s="31">
        <v>15</v>
      </c>
      <c r="B21" s="10" t="str">
        <f t="shared" si="3"/>
        <v xml:space="preserve">VAZQUEZ FLORES FERNANDO </v>
      </c>
      <c r="C21" s="6" t="str">
        <f t="shared" si="4"/>
        <v>BASURA</v>
      </c>
      <c r="D21" s="20">
        <f t="shared" si="9"/>
        <v>183.19</v>
      </c>
      <c r="E21" s="20">
        <f t="shared" si="10"/>
        <v>1.9133333333333333</v>
      </c>
      <c r="F21" s="20">
        <f t="shared" si="5"/>
        <v>181.27666666666667</v>
      </c>
      <c r="G21" s="24"/>
      <c r="H21" s="84">
        <f t="shared" si="6"/>
        <v>183.19</v>
      </c>
      <c r="I21" s="84">
        <f t="shared" si="7"/>
        <v>1.9133333333333333</v>
      </c>
      <c r="J21" s="86">
        <f t="shared" si="12"/>
        <v>181.27666666666667</v>
      </c>
      <c r="K21" s="146" t="s">
        <v>157</v>
      </c>
      <c r="L21" s="148" t="s">
        <v>133</v>
      </c>
      <c r="M21" s="134">
        <v>2747.85</v>
      </c>
      <c r="N21" s="134">
        <v>0</v>
      </c>
      <c r="O21" s="134">
        <v>28.7</v>
      </c>
      <c r="P21" s="2"/>
      <c r="Q21" s="2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20"/>
      <c r="AF21" s="6"/>
      <c r="AG21" s="6"/>
      <c r="AH21" s="20"/>
    </row>
    <row r="22" spans="1:34" s="3" customFormat="1" ht="27" customHeight="1">
      <c r="A22" s="31">
        <v>16</v>
      </c>
      <c r="B22" s="10" t="str">
        <f t="shared" si="3"/>
        <v xml:space="preserve">ESPINOZA GARZON HEREDERIO </v>
      </c>
      <c r="C22" s="6" t="str">
        <f t="shared" si="4"/>
        <v>OPERADOR MOTOCONFORMADORA 12H</v>
      </c>
      <c r="D22" s="20">
        <f>H22*4.166666666</f>
        <v>1678.9833330646961</v>
      </c>
      <c r="E22" s="20">
        <f>I22*4.166666666</f>
        <v>178.98333330469603</v>
      </c>
      <c r="F22" s="20">
        <f t="shared" si="5"/>
        <v>1499.99999976</v>
      </c>
      <c r="G22" s="24"/>
      <c r="H22" s="84">
        <f t="shared" si="6"/>
        <v>402.95600000000002</v>
      </c>
      <c r="I22" s="84">
        <f t="shared" si="7"/>
        <v>42.956000000000003</v>
      </c>
      <c r="J22" s="152">
        <f t="shared" si="12"/>
        <v>360</v>
      </c>
      <c r="K22" s="146" t="s">
        <v>189</v>
      </c>
      <c r="L22" s="148" t="s">
        <v>190</v>
      </c>
      <c r="M22" s="134">
        <v>6044.34</v>
      </c>
      <c r="N22" s="134"/>
      <c r="O22" s="97">
        <v>644.34</v>
      </c>
      <c r="P22" s="2"/>
      <c r="Q22" s="2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20"/>
      <c r="AF22" s="6"/>
      <c r="AG22" s="6"/>
      <c r="AH22" s="20"/>
    </row>
    <row r="23" spans="1:34" s="72" customFormat="1" ht="27" customHeight="1">
      <c r="A23" s="31">
        <v>17</v>
      </c>
      <c r="B23" s="10" t="str">
        <f t="shared" si="3"/>
        <v xml:space="preserve">GARCIA DE ANDA SERGIO </v>
      </c>
      <c r="C23" s="6" t="str">
        <f t="shared" si="4"/>
        <v>OPERADOR PAYLODER</v>
      </c>
      <c r="D23" s="20">
        <f>H23*1.3888888888888</f>
        <v>559.66111111107534</v>
      </c>
      <c r="E23" s="20">
        <f>I23*1.38888888888888</f>
        <v>59.661111111110735</v>
      </c>
      <c r="F23" s="20">
        <f t="shared" si="5"/>
        <v>499.99999999996459</v>
      </c>
      <c r="G23" s="70"/>
      <c r="H23" s="84">
        <f t="shared" si="6"/>
        <v>402.95600000000002</v>
      </c>
      <c r="I23" s="84">
        <f t="shared" si="7"/>
        <v>42.956000000000003</v>
      </c>
      <c r="J23" s="140">
        <f t="shared" ref="J23:J24" si="13">SUM(H23-I23)</f>
        <v>360</v>
      </c>
      <c r="K23" s="146" t="s">
        <v>191</v>
      </c>
      <c r="L23" s="148" t="s">
        <v>192</v>
      </c>
      <c r="M23" s="148">
        <v>6044.34</v>
      </c>
      <c r="N23" s="97"/>
      <c r="O23" s="97">
        <v>644.34</v>
      </c>
      <c r="P23" s="69"/>
      <c r="Q23" s="69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34"/>
      <c r="AF23" s="71"/>
      <c r="AG23" s="71"/>
      <c r="AH23" s="34"/>
    </row>
    <row r="24" spans="1:34" s="3" customFormat="1" ht="27" customHeight="1">
      <c r="A24" s="31">
        <v>18</v>
      </c>
      <c r="B24" s="10" t="str">
        <f t="shared" si="3"/>
        <v xml:space="preserve">GARCIA HERNANDEZ JOSE LUIS </v>
      </c>
      <c r="C24" s="6" t="str">
        <f t="shared" si="4"/>
        <v>CHOFER CAMION VOLTEO KEENGORTH</v>
      </c>
      <c r="D24" s="20">
        <f>H24*3.91304347783</f>
        <v>1322.0973911587703</v>
      </c>
      <c r="E24" s="20">
        <f>I24*3.91304347783</f>
        <v>122.09739129090356</v>
      </c>
      <c r="F24" s="20">
        <f t="shared" si="5"/>
        <v>1199.9999998678668</v>
      </c>
      <c r="G24" s="24"/>
      <c r="H24" s="84">
        <f t="shared" si="6"/>
        <v>337.86933333333332</v>
      </c>
      <c r="I24" s="84">
        <f t="shared" si="7"/>
        <v>31.202666666666669</v>
      </c>
      <c r="J24" s="150">
        <f t="shared" si="13"/>
        <v>306.66666666666663</v>
      </c>
      <c r="K24" s="146" t="s">
        <v>193</v>
      </c>
      <c r="L24" s="148" t="s">
        <v>194</v>
      </c>
      <c r="M24" s="144">
        <v>5068.04</v>
      </c>
      <c r="N24" s="97"/>
      <c r="O24" s="97">
        <v>468.04</v>
      </c>
      <c r="P24" s="2"/>
      <c r="Q24" s="2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20"/>
      <c r="AF24" s="6"/>
      <c r="AG24" s="6"/>
      <c r="AH24" s="20"/>
    </row>
    <row r="25" spans="1:34" s="3" customFormat="1" ht="27" customHeight="1">
      <c r="A25" s="31">
        <v>19</v>
      </c>
      <c r="B25" s="10" t="str">
        <f t="shared" si="3"/>
        <v xml:space="preserve">MERCADO SANCHEZ JAVIER </v>
      </c>
      <c r="C25" s="6" t="str">
        <f t="shared" si="4"/>
        <v>CHOFER TRACTO CAMION KEENGORTH</v>
      </c>
      <c r="D25" s="20">
        <f>H25*4.55271779402</f>
        <v>1912.1414734884002</v>
      </c>
      <c r="E25" s="20">
        <f>I25*4.55271779402</f>
        <v>212.14147347535197</v>
      </c>
      <c r="F25" s="20">
        <f t="shared" si="5"/>
        <v>1700.0000000130481</v>
      </c>
      <c r="G25" s="24"/>
      <c r="H25" s="84">
        <f t="shared" si="6"/>
        <v>420</v>
      </c>
      <c r="I25" s="84">
        <f t="shared" si="7"/>
        <v>46.596666666666671</v>
      </c>
      <c r="J25" s="153">
        <f t="shared" ref="J25:J27" si="14">+H25-I25</f>
        <v>373.40333333333331</v>
      </c>
      <c r="K25" s="146" t="s">
        <v>195</v>
      </c>
      <c r="L25" s="148" t="s">
        <v>196</v>
      </c>
      <c r="M25" s="134">
        <v>6300</v>
      </c>
      <c r="N25" s="134"/>
      <c r="O25" s="134">
        <v>698.95</v>
      </c>
      <c r="P25" s="2"/>
      <c r="Q25" s="2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20"/>
      <c r="AF25" s="6"/>
      <c r="AG25" s="6"/>
      <c r="AH25" s="20"/>
    </row>
    <row r="26" spans="1:34" s="3" customFormat="1" ht="27" customHeight="1">
      <c r="A26" s="31">
        <v>20</v>
      </c>
      <c r="B26" s="10" t="str">
        <f t="shared" si="3"/>
        <v xml:space="preserve">RODRIGUEZ GONZALEZ GUSTAVO </v>
      </c>
      <c r="C26" s="6" t="str">
        <f t="shared" si="4"/>
        <v>OPERADOR EXCAVADORA 320</v>
      </c>
      <c r="D26" s="20">
        <f>H26*10</f>
        <v>4029.5600000000004</v>
      </c>
      <c r="E26" s="20">
        <f>I26*10</f>
        <v>429.56000000000006</v>
      </c>
      <c r="F26" s="20">
        <f t="shared" si="5"/>
        <v>3600.0000000000005</v>
      </c>
      <c r="G26" s="24"/>
      <c r="H26" s="84">
        <f t="shared" si="6"/>
        <v>402.95600000000002</v>
      </c>
      <c r="I26" s="84">
        <f t="shared" si="7"/>
        <v>42.956000000000003</v>
      </c>
      <c r="J26" s="86">
        <f t="shared" si="14"/>
        <v>360</v>
      </c>
      <c r="K26" s="146" t="s">
        <v>197</v>
      </c>
      <c r="L26" s="148" t="s">
        <v>198</v>
      </c>
      <c r="M26" s="134">
        <v>6044.34</v>
      </c>
      <c r="N26" s="134"/>
      <c r="O26" s="97">
        <v>644.34</v>
      </c>
      <c r="P26" s="2"/>
      <c r="Q26" s="2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20"/>
      <c r="AF26" s="6"/>
      <c r="AG26" s="6"/>
      <c r="AH26" s="20"/>
    </row>
    <row r="27" spans="1:34" s="3" customFormat="1" ht="27" customHeight="1">
      <c r="A27" s="31">
        <v>21</v>
      </c>
      <c r="B27" s="10" t="str">
        <f t="shared" si="3"/>
        <v>TORRES VAZQUEZ OSCAR</v>
      </c>
      <c r="C27" s="6" t="str">
        <f t="shared" si="4"/>
        <v>CHOFER VOLTEO VOLVO ROJO 14M3</v>
      </c>
      <c r="D27" s="20">
        <f>H27*5.55253130097</f>
        <v>1872.6467065651423</v>
      </c>
      <c r="E27" s="20">
        <f>I27*5.55253130097</f>
        <v>172.6467065848272</v>
      </c>
      <c r="F27" s="20">
        <f t="shared" si="5"/>
        <v>1699.9999999803151</v>
      </c>
      <c r="G27" s="24"/>
      <c r="H27" s="84">
        <f t="shared" si="6"/>
        <v>337.26</v>
      </c>
      <c r="I27" s="84">
        <f t="shared" si="7"/>
        <v>31.09333333333333</v>
      </c>
      <c r="J27" s="151">
        <f t="shared" si="14"/>
        <v>306.16666666666669</v>
      </c>
      <c r="K27" s="146" t="s">
        <v>199</v>
      </c>
      <c r="L27" s="148" t="s">
        <v>200</v>
      </c>
      <c r="M27" s="134">
        <v>5058.8999999999996</v>
      </c>
      <c r="N27" s="134"/>
      <c r="O27" s="97">
        <v>466.4</v>
      </c>
      <c r="P27" s="2"/>
      <c r="Q27" s="2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20"/>
      <c r="AF27" s="6"/>
      <c r="AG27" s="6"/>
      <c r="AH27" s="20"/>
    </row>
    <row r="28" spans="1:34" s="3" customFormat="1" ht="27" customHeight="1">
      <c r="A28" s="31"/>
      <c r="B28" s="10"/>
      <c r="C28" s="6"/>
      <c r="D28" s="20"/>
      <c r="E28" s="20"/>
      <c r="F28" s="20"/>
      <c r="G28" s="24"/>
      <c r="H28" s="84"/>
      <c r="I28" s="91"/>
      <c r="J28" s="86"/>
      <c r="K28" s="134"/>
      <c r="L28" s="134"/>
      <c r="M28" s="97"/>
      <c r="N28" s="95"/>
      <c r="O28" s="95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20"/>
      <c r="AC28" s="6"/>
      <c r="AD28" s="6"/>
      <c r="AE28" s="20"/>
    </row>
    <row r="29" spans="1:34" s="3" customFormat="1" ht="27" customHeight="1">
      <c r="A29" s="31"/>
      <c r="B29" s="10"/>
      <c r="C29" s="67" t="s">
        <v>165</v>
      </c>
      <c r="D29" s="63">
        <f>SUM(D7:D28)</f>
        <v>23607.736098053429</v>
      </c>
      <c r="E29" s="63">
        <f t="shared" ref="E29:F29" si="15">SUM(E7:E28)</f>
        <v>2197.1900984548865</v>
      </c>
      <c r="F29" s="63">
        <f t="shared" si="15"/>
        <v>21410.545999598544</v>
      </c>
      <c r="G29" s="24"/>
      <c r="H29" s="84"/>
      <c r="I29" s="84"/>
      <c r="J29" s="86"/>
      <c r="K29" s="134"/>
      <c r="L29" s="134"/>
      <c r="M29" s="97"/>
      <c r="N29" s="95"/>
      <c r="O29" s="95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0"/>
      <c r="AC29" s="6"/>
      <c r="AD29" s="6"/>
      <c r="AE29" s="20"/>
    </row>
    <row r="30" spans="1:34" s="3" customFormat="1" ht="27" customHeight="1">
      <c r="A30" s="31"/>
      <c r="B30" s="10" t="s">
        <v>201</v>
      </c>
      <c r="C30" s="6"/>
      <c r="D30" s="20"/>
      <c r="E30" s="20"/>
      <c r="F30" s="20"/>
      <c r="G30" s="24"/>
      <c r="H30" s="84"/>
      <c r="I30" s="84"/>
      <c r="J30" s="86"/>
      <c r="K30" s="134"/>
      <c r="L30" s="134"/>
      <c r="M30" s="134"/>
      <c r="N30" s="95"/>
      <c r="O30" s="95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20"/>
      <c r="AC30" s="6"/>
      <c r="AD30" s="6"/>
      <c r="AE30" s="20"/>
    </row>
    <row r="31" spans="1:34" s="3" customFormat="1" ht="27" customHeight="1">
      <c r="A31" s="31"/>
      <c r="B31" s="10" t="s">
        <v>202</v>
      </c>
      <c r="C31" s="6"/>
      <c r="D31" s="20"/>
      <c r="E31" s="20"/>
      <c r="F31" s="20"/>
      <c r="G31" s="24"/>
      <c r="H31" s="84"/>
      <c r="I31" s="84"/>
      <c r="J31" s="86"/>
      <c r="K31" s="134"/>
      <c r="L31" s="134"/>
      <c r="M31" s="134"/>
      <c r="N31" s="95"/>
      <c r="O31" s="95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20"/>
      <c r="AC31" s="6"/>
      <c r="AD31" s="6"/>
      <c r="AE31" s="20"/>
    </row>
    <row r="32" spans="1:34" s="3" customFormat="1" ht="27" customHeight="1">
      <c r="A32" s="31"/>
      <c r="B32" s="10"/>
      <c r="C32" s="6"/>
      <c r="D32" s="20"/>
      <c r="E32" s="20"/>
      <c r="F32" s="20"/>
      <c r="G32" s="24"/>
      <c r="H32" s="84"/>
      <c r="I32" s="84"/>
      <c r="J32" s="86"/>
      <c r="K32" s="134"/>
      <c r="L32" s="134"/>
      <c r="M32" s="134"/>
      <c r="N32" s="95"/>
      <c r="O32" s="95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20"/>
      <c r="AC32" s="6"/>
      <c r="AD32" s="6"/>
      <c r="AE32" s="20"/>
    </row>
    <row r="33" spans="1:32" s="3" customFormat="1" ht="27" customHeight="1">
      <c r="A33" s="31"/>
      <c r="B33" s="10"/>
      <c r="C33" s="6"/>
      <c r="D33" s="20"/>
      <c r="E33" s="20"/>
      <c r="F33" s="20"/>
      <c r="G33" s="24"/>
      <c r="H33" s="84"/>
      <c r="I33" s="84"/>
      <c r="J33" s="86"/>
      <c r="K33" s="134"/>
      <c r="L33" s="134"/>
      <c r="M33" s="134"/>
      <c r="N33" s="95"/>
      <c r="O33" s="95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20"/>
      <c r="AC33" s="6"/>
      <c r="AD33" s="6"/>
      <c r="AE33" s="20"/>
    </row>
    <row r="34" spans="1:32" s="3" customFormat="1" ht="27" customHeight="1">
      <c r="A34" s="31"/>
      <c r="B34" s="10"/>
      <c r="C34" s="6"/>
      <c r="D34" s="20"/>
      <c r="E34" s="20"/>
      <c r="F34" s="20"/>
      <c r="G34" s="24"/>
      <c r="H34" s="84"/>
      <c r="I34" s="84"/>
      <c r="J34" s="86"/>
      <c r="K34" s="134"/>
      <c r="L34" s="134"/>
      <c r="M34" s="134"/>
      <c r="N34" s="95"/>
      <c r="O34" s="95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20"/>
      <c r="AC34" s="6"/>
      <c r="AD34" s="6"/>
      <c r="AE34" s="20"/>
    </row>
    <row r="35" spans="1:32" s="3" customFormat="1" ht="27" customHeight="1">
      <c r="A35" s="31"/>
      <c r="B35" s="10"/>
      <c r="C35" s="6"/>
      <c r="D35" s="20"/>
      <c r="E35" s="20"/>
      <c r="F35" s="20"/>
      <c r="G35" s="24"/>
      <c r="H35" s="84"/>
      <c r="I35" s="84"/>
      <c r="J35" s="86"/>
      <c r="K35" s="134"/>
      <c r="L35" s="134"/>
      <c r="M35" s="134"/>
      <c r="N35" s="95"/>
      <c r="O35" s="95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20"/>
      <c r="AC35" s="6"/>
      <c r="AD35" s="6"/>
      <c r="AE35" s="20"/>
    </row>
    <row r="36" spans="1:32" s="3" customFormat="1" ht="27" customHeight="1">
      <c r="A36" s="31"/>
      <c r="B36" s="10"/>
      <c r="C36" s="6"/>
      <c r="D36" s="20"/>
      <c r="E36" s="20"/>
      <c r="F36" s="20"/>
      <c r="G36" s="24"/>
      <c r="H36" s="84"/>
      <c r="I36" s="84"/>
      <c r="J36" s="86"/>
      <c r="K36" s="134"/>
      <c r="L36" s="134"/>
      <c r="M36" s="134"/>
      <c r="N36" s="95"/>
      <c r="O36" s="95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20"/>
      <c r="AC36" s="6"/>
      <c r="AD36" s="6"/>
      <c r="AE36" s="20"/>
    </row>
    <row r="37" spans="1:32" s="3" customFormat="1" ht="27" customHeight="1">
      <c r="A37" s="241" t="s">
        <v>24</v>
      </c>
      <c r="B37" s="242"/>
      <c r="C37" s="242"/>
      <c r="D37" s="242"/>
      <c r="E37" s="242"/>
      <c r="F37" s="242"/>
      <c r="G37" s="243"/>
      <c r="H37" s="84"/>
      <c r="I37" s="84"/>
      <c r="J37" s="86"/>
      <c r="K37" s="134"/>
      <c r="L37" s="134"/>
      <c r="M37" s="134"/>
      <c r="N37" s="95"/>
      <c r="O37" s="95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20"/>
      <c r="AC37" s="6"/>
      <c r="AD37" s="6"/>
      <c r="AE37" s="20"/>
    </row>
    <row r="38" spans="1:32" s="3" customFormat="1" ht="27" customHeight="1">
      <c r="A38" s="241" t="s">
        <v>153</v>
      </c>
      <c r="B38" s="242"/>
      <c r="C38" s="242"/>
      <c r="D38" s="242"/>
      <c r="E38" s="242"/>
      <c r="F38" s="242"/>
      <c r="G38" s="243"/>
      <c r="H38" s="84"/>
      <c r="I38" s="84"/>
      <c r="J38" s="86"/>
      <c r="K38" s="134"/>
      <c r="L38" s="134"/>
      <c r="M38" s="134"/>
      <c r="N38" s="95"/>
      <c r="O38" s="95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20"/>
      <c r="AC38" s="6"/>
      <c r="AD38" s="6"/>
      <c r="AE38" s="20"/>
    </row>
    <row r="39" spans="1:32" s="3" customFormat="1" ht="27" customHeight="1">
      <c r="A39" s="241" t="str">
        <f>+A3</f>
        <v xml:space="preserve">AYUNTAMIENTO Y QUE  CORRESPONDEN A LA SEGUNDA  QUINCENA DE MAYO DE 2019 </v>
      </c>
      <c r="B39" s="242"/>
      <c r="C39" s="242"/>
      <c r="D39" s="242"/>
      <c r="E39" s="242"/>
      <c r="F39" s="242"/>
      <c r="G39" s="243"/>
      <c r="H39" s="84"/>
      <c r="I39" s="84"/>
      <c r="J39" s="86"/>
      <c r="K39" s="134"/>
      <c r="L39" s="134"/>
      <c r="M39" s="134"/>
      <c r="N39" s="95"/>
      <c r="O39" s="95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20"/>
      <c r="AC39" s="6"/>
      <c r="AD39" s="6"/>
      <c r="AE39" s="20"/>
    </row>
    <row r="40" spans="1:32" s="3" customFormat="1" ht="27" customHeight="1">
      <c r="A40" s="241" t="s">
        <v>27</v>
      </c>
      <c r="B40" s="242"/>
      <c r="C40" s="242"/>
      <c r="D40" s="242"/>
      <c r="E40" s="242"/>
      <c r="F40" s="242"/>
      <c r="G40" s="243"/>
      <c r="H40" s="84"/>
      <c r="I40" s="84"/>
      <c r="J40" s="86"/>
      <c r="K40" s="134"/>
      <c r="L40" s="134"/>
      <c r="M40" s="134"/>
      <c r="N40" s="95"/>
      <c r="O40" s="95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20"/>
      <c r="AC40" s="6"/>
      <c r="AD40" s="6"/>
      <c r="AE40" s="20"/>
    </row>
    <row r="41" spans="1:32" s="3" customFormat="1" ht="27" customHeight="1">
      <c r="A41" s="31">
        <v>1</v>
      </c>
      <c r="B41" s="10" t="str">
        <f>+K41</f>
        <v xml:space="preserve">FLORES RUVALCABA ROBERTO ALEJANDRO </v>
      </c>
      <c r="C41" s="8" t="str">
        <f>+L41</f>
        <v>COMANDANTE</v>
      </c>
      <c r="D41" s="20">
        <f t="shared" ref="D41:E41" si="16">H41</f>
        <v>432.6273333333333</v>
      </c>
      <c r="E41" s="20">
        <f t="shared" si="16"/>
        <v>49.293999999999997</v>
      </c>
      <c r="F41" s="20">
        <f t="shared" ref="F41:F42" si="17">D41-E41</f>
        <v>383.33333333333331</v>
      </c>
      <c r="G41" s="24"/>
      <c r="H41" s="84">
        <f t="shared" ref="H41:H42" si="18">+M41/15</f>
        <v>432.6273333333333</v>
      </c>
      <c r="I41" s="84">
        <f>+O41/15</f>
        <v>49.293999999999997</v>
      </c>
      <c r="J41" s="86">
        <f t="shared" si="8"/>
        <v>383.33333333333331</v>
      </c>
      <c r="K41" s="134" t="s">
        <v>203</v>
      </c>
      <c r="L41" s="134" t="s">
        <v>208</v>
      </c>
      <c r="M41" s="134">
        <v>6489.41</v>
      </c>
      <c r="N41" s="95"/>
      <c r="O41" s="95">
        <v>739.41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20"/>
      <c r="AC41" s="6"/>
      <c r="AD41" s="6"/>
      <c r="AE41" s="20"/>
    </row>
    <row r="42" spans="1:32" s="3" customFormat="1" ht="27" customHeight="1">
      <c r="A42" s="31">
        <v>2</v>
      </c>
      <c r="B42" s="10"/>
      <c r="C42" s="8" t="str">
        <f>+L42</f>
        <v>POLICIA DE LINEA</v>
      </c>
      <c r="D42" s="20">
        <f>H42*1</f>
        <v>391.47533333333337</v>
      </c>
      <c r="E42" s="20">
        <f>I42</f>
        <v>40.808666666666667</v>
      </c>
      <c r="F42" s="20">
        <f t="shared" si="17"/>
        <v>350.66666666666669</v>
      </c>
      <c r="G42" s="24"/>
      <c r="H42" s="84">
        <f t="shared" si="18"/>
        <v>391.47533333333337</v>
      </c>
      <c r="I42" s="84">
        <f t="shared" ref="I42:I44" si="19">+O42/15</f>
        <v>40.808666666666667</v>
      </c>
      <c r="J42" s="86">
        <f t="shared" si="8"/>
        <v>350.66666666666669</v>
      </c>
      <c r="K42" s="134" t="s">
        <v>100</v>
      </c>
      <c r="L42" s="134" t="s">
        <v>90</v>
      </c>
      <c r="M42" s="97">
        <v>5872.13</v>
      </c>
      <c r="N42" s="95"/>
      <c r="O42" s="95">
        <v>612.13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20"/>
      <c r="AC42" s="6"/>
      <c r="AD42" s="6"/>
      <c r="AE42" s="20"/>
    </row>
    <row r="43" spans="1:32" s="3" customFormat="1" ht="27" customHeight="1">
      <c r="A43" s="31">
        <v>3</v>
      </c>
      <c r="B43" s="10"/>
      <c r="C43" s="8" t="str">
        <f>+L43</f>
        <v>POLICIA DE LINEA</v>
      </c>
      <c r="D43" s="20">
        <f t="shared" ref="D43:D44" si="20">H43*1</f>
        <v>391.47533333333337</v>
      </c>
      <c r="E43" s="20">
        <f t="shared" ref="E43:E44" si="21">I43</f>
        <v>40.808666666666667</v>
      </c>
      <c r="F43" s="20">
        <f t="shared" ref="F43:F44" si="22">D43-E43</f>
        <v>350.66666666666669</v>
      </c>
      <c r="G43" s="24"/>
      <c r="H43" s="84">
        <f t="shared" ref="H43:H44" si="23">+M43/15</f>
        <v>391.47533333333337</v>
      </c>
      <c r="I43" s="84">
        <f t="shared" si="19"/>
        <v>40.808666666666667</v>
      </c>
      <c r="J43" s="86">
        <f t="shared" ref="J43:J44" si="24">+H43-I43</f>
        <v>350.66666666666669</v>
      </c>
      <c r="K43" s="134" t="s">
        <v>205</v>
      </c>
      <c r="L43" s="134" t="s">
        <v>90</v>
      </c>
      <c r="M43" s="97">
        <v>5872.13</v>
      </c>
      <c r="N43" s="95"/>
      <c r="O43" s="95">
        <v>612.13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20"/>
      <c r="AC43" s="6"/>
      <c r="AD43" s="6"/>
      <c r="AE43" s="20"/>
    </row>
    <row r="44" spans="1:32" s="3" customFormat="1" ht="27" customHeight="1">
      <c r="A44" s="31">
        <v>4</v>
      </c>
      <c r="B44" s="10"/>
      <c r="C44" s="8" t="str">
        <f>+L44</f>
        <v>POLICIA DE LINEA</v>
      </c>
      <c r="D44" s="20">
        <f t="shared" si="20"/>
        <v>391.47533333333337</v>
      </c>
      <c r="E44" s="20">
        <f t="shared" si="21"/>
        <v>40.808666666666667</v>
      </c>
      <c r="F44" s="20">
        <f t="shared" si="22"/>
        <v>350.66666666666669</v>
      </c>
      <c r="G44" s="24"/>
      <c r="H44" s="84">
        <f t="shared" si="23"/>
        <v>391.47533333333337</v>
      </c>
      <c r="I44" s="84">
        <f t="shared" si="19"/>
        <v>40.808666666666667</v>
      </c>
      <c r="J44" s="86">
        <f t="shared" si="24"/>
        <v>350.66666666666669</v>
      </c>
      <c r="K44" s="134" t="s">
        <v>207</v>
      </c>
      <c r="L44" s="134" t="s">
        <v>90</v>
      </c>
      <c r="M44" s="97">
        <v>5872.13</v>
      </c>
      <c r="N44" s="95"/>
      <c r="O44" s="95">
        <v>612.13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20"/>
      <c r="AC44" s="6"/>
      <c r="AD44" s="6"/>
      <c r="AE44" s="20"/>
    </row>
    <row r="45" spans="1:32" s="3" customFormat="1" ht="27" customHeight="1">
      <c r="A45" s="31"/>
      <c r="B45" s="10"/>
      <c r="C45" s="67" t="s">
        <v>165</v>
      </c>
      <c r="D45" s="63">
        <f>SUM(D41:D44)</f>
        <v>1607.0533333333333</v>
      </c>
      <c r="E45" s="63">
        <f>SUM(E41:E44)</f>
        <v>171.72000000000003</v>
      </c>
      <c r="F45" s="63">
        <f>SUM(F41:F44)</f>
        <v>1435.3333333333335</v>
      </c>
      <c r="G45" s="24"/>
      <c r="H45" s="84"/>
      <c r="I45" s="84"/>
      <c r="J45" s="86"/>
      <c r="K45" s="134"/>
      <c r="L45" s="134"/>
      <c r="M45" s="97"/>
      <c r="N45" s="95"/>
      <c r="O45" s="95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20"/>
      <c r="AC45" s="6"/>
      <c r="AD45" s="6"/>
      <c r="AE45" s="20"/>
    </row>
    <row r="46" spans="1:32" s="3" customFormat="1" ht="27" customHeight="1">
      <c r="A46" s="31"/>
      <c r="B46" s="10"/>
      <c r="C46" s="6"/>
      <c r="D46" s="20"/>
      <c r="E46" s="20"/>
      <c r="F46" s="20"/>
      <c r="G46" s="24"/>
      <c r="H46" s="84"/>
      <c r="I46" s="84"/>
      <c r="J46" s="86"/>
      <c r="K46" s="134"/>
      <c r="L46" s="134"/>
      <c r="M46" s="97"/>
      <c r="N46" s="95"/>
      <c r="O46" s="95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20"/>
      <c r="AC46" s="6"/>
      <c r="AD46" s="6"/>
      <c r="AE46" s="20"/>
    </row>
    <row r="47" spans="1:32" s="3" customFormat="1" ht="27" customHeight="1">
      <c r="A47" s="31"/>
      <c r="B47" s="10" t="s">
        <v>209</v>
      </c>
      <c r="C47" s="6"/>
      <c r="D47" s="20"/>
      <c r="E47" s="20"/>
      <c r="F47" s="20"/>
      <c r="G47" s="24"/>
      <c r="H47" s="84"/>
      <c r="I47" s="84"/>
      <c r="J47" s="86"/>
      <c r="K47" s="134"/>
      <c r="L47" s="134"/>
      <c r="M47" s="134"/>
      <c r="N47" s="95"/>
      <c r="O47" s="97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20"/>
      <c r="AD47" s="6"/>
      <c r="AE47" s="6"/>
      <c r="AF47" s="20"/>
    </row>
    <row r="48" spans="1:32" s="3" customFormat="1" ht="27" customHeight="1">
      <c r="A48" s="31"/>
      <c r="B48" s="10" t="str">
        <f>+B31</f>
        <v>IXTLAHUACAN DEL RIO JALISCO A 31 DE MAYO DE 2019</v>
      </c>
      <c r="C48" s="6"/>
      <c r="D48" s="20"/>
      <c r="E48" s="20"/>
      <c r="F48" s="20"/>
      <c r="G48" s="24"/>
      <c r="H48" s="84"/>
      <c r="I48" s="84"/>
      <c r="J48" s="86"/>
      <c r="K48" s="134"/>
      <c r="L48" s="134"/>
      <c r="M48" s="134"/>
      <c r="N48" s="95"/>
      <c r="O48" s="97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20"/>
      <c r="AD48" s="6"/>
      <c r="AE48" s="6"/>
      <c r="AF48" s="20"/>
    </row>
    <row r="49" spans="1:33" s="3" customFormat="1" ht="27" customHeight="1">
      <c r="A49" s="31"/>
      <c r="B49" s="10"/>
      <c r="C49" s="6"/>
      <c r="D49" s="20"/>
      <c r="E49" s="20"/>
      <c r="F49" s="20"/>
      <c r="G49" s="24"/>
      <c r="H49" s="84"/>
      <c r="I49" s="84"/>
      <c r="J49" s="86"/>
      <c r="K49" s="134"/>
      <c r="L49" s="134"/>
      <c r="M49" s="134"/>
      <c r="N49" s="95"/>
      <c r="O49" s="97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20"/>
      <c r="AD49" s="6"/>
      <c r="AE49" s="6"/>
      <c r="AF49" s="20"/>
    </row>
    <row r="50" spans="1:33" s="3" customFormat="1" ht="27" customHeight="1">
      <c r="A50" s="31"/>
      <c r="B50" s="10"/>
      <c r="C50" s="6"/>
      <c r="D50" s="20"/>
      <c r="E50" s="20"/>
      <c r="F50" s="20"/>
      <c r="G50" s="24"/>
      <c r="H50" s="84"/>
      <c r="I50" s="84"/>
      <c r="J50" s="86"/>
      <c r="K50" s="134"/>
      <c r="L50" s="134"/>
      <c r="M50" s="134"/>
      <c r="N50" s="95"/>
      <c r="O50" s="97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20"/>
      <c r="AD50" s="6"/>
      <c r="AE50" s="6"/>
      <c r="AF50" s="20"/>
    </row>
    <row r="51" spans="1:33" s="3" customFormat="1" ht="27" customHeight="1">
      <c r="A51" s="31"/>
      <c r="B51" s="10"/>
      <c r="C51" s="6"/>
      <c r="D51" s="20"/>
      <c r="E51" s="20"/>
      <c r="F51" s="20"/>
      <c r="G51" s="24"/>
      <c r="H51" s="84"/>
      <c r="I51" s="84"/>
      <c r="J51" s="86"/>
      <c r="K51" s="134"/>
      <c r="L51" s="134"/>
      <c r="M51" s="134"/>
      <c r="N51" s="97"/>
      <c r="O51" s="134"/>
      <c r="P51" s="2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20"/>
      <c r="AE51" s="6"/>
      <c r="AF51" s="6"/>
      <c r="AG51" s="20"/>
    </row>
    <row r="52" spans="1:33" s="3" customFormat="1" ht="27" customHeight="1">
      <c r="A52" s="9"/>
      <c r="B52" s="10"/>
      <c r="C52" s="26"/>
      <c r="D52" s="4"/>
      <c r="E52" s="4"/>
      <c r="F52" s="4"/>
      <c r="G52" s="24"/>
      <c r="H52" s="84"/>
      <c r="I52" s="91"/>
      <c r="J52" s="86"/>
      <c r="K52" s="110"/>
      <c r="L52" s="118"/>
      <c r="M52" s="118"/>
      <c r="N52" s="131"/>
      <c r="O52" s="118"/>
      <c r="P52" s="2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20"/>
      <c r="AE52" s="6"/>
      <c r="AF52" s="6"/>
      <c r="AG52" s="20"/>
    </row>
    <row r="53" spans="1:33" s="3" customFormat="1" ht="27" customHeight="1">
      <c r="A53" s="9"/>
      <c r="B53" s="10"/>
      <c r="C53" s="26"/>
      <c r="D53" s="32"/>
      <c r="E53" s="32"/>
      <c r="F53" s="32"/>
      <c r="G53" s="24"/>
      <c r="H53" s="84"/>
      <c r="I53" s="91"/>
      <c r="J53" s="86"/>
      <c r="K53" s="110"/>
      <c r="L53" s="118"/>
      <c r="M53" s="118"/>
      <c r="N53" s="131"/>
      <c r="O53" s="118"/>
      <c r="P53" s="2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20"/>
      <c r="AE53" s="6"/>
      <c r="AF53" s="6"/>
      <c r="AG53" s="20"/>
    </row>
    <row r="54" spans="1:33" s="3" customFormat="1" ht="27" customHeight="1">
      <c r="A54" s="9"/>
      <c r="C54" s="30"/>
      <c r="D54" s="4"/>
      <c r="E54" s="4"/>
      <c r="F54" s="4"/>
      <c r="G54" s="24" t="s">
        <v>18</v>
      </c>
      <c r="H54" s="84"/>
      <c r="I54" s="91"/>
      <c r="J54" s="86">
        <f>SUM(H54-I54)</f>
        <v>0</v>
      </c>
      <c r="K54" s="110"/>
      <c r="L54" s="118"/>
      <c r="M54" s="120"/>
      <c r="N54" s="131"/>
      <c r="O54" s="131"/>
      <c r="P54" s="2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20"/>
      <c r="AE54" s="6"/>
      <c r="AF54" s="6"/>
      <c r="AG54" s="20"/>
    </row>
    <row r="55" spans="1:33" s="3" customFormat="1" ht="27" customHeight="1">
      <c r="A55" s="9"/>
      <c r="C55" s="26"/>
      <c r="D55" s="4"/>
      <c r="E55" s="4"/>
      <c r="F55" s="4"/>
      <c r="G55" s="24" t="s">
        <v>18</v>
      </c>
      <c r="H55" s="84"/>
      <c r="I55" s="91"/>
      <c r="J55" s="86">
        <f>SUM(H55-I55)</f>
        <v>0</v>
      </c>
      <c r="K55" s="109"/>
      <c r="L55" s="95"/>
      <c r="M55" s="117"/>
      <c r="N55" s="131"/>
      <c r="O55" s="131"/>
      <c r="P55" s="2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20"/>
      <c r="AE55" s="6"/>
      <c r="AF55" s="6"/>
      <c r="AG55" s="20"/>
    </row>
    <row r="56" spans="1:33" s="3" customFormat="1" ht="27" customHeight="1">
      <c r="A56" s="9"/>
      <c r="B56" s="10"/>
      <c r="C56" s="26"/>
      <c r="D56" s="28"/>
      <c r="E56" s="28"/>
      <c r="F56" s="21"/>
      <c r="G56" s="24" t="s">
        <v>18</v>
      </c>
      <c r="H56" s="91"/>
      <c r="I56" s="91"/>
      <c r="J56" s="86"/>
      <c r="K56" s="98"/>
      <c r="L56" s="95"/>
      <c r="M56" s="117"/>
      <c r="N56" s="131"/>
      <c r="O56" s="131"/>
      <c r="P56" s="2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20"/>
      <c r="AE56" s="6"/>
      <c r="AF56" s="6"/>
      <c r="AG56" s="20"/>
    </row>
    <row r="64" spans="1:33" ht="27" customHeight="1">
      <c r="D64" s="20"/>
      <c r="E64" s="20"/>
      <c r="F64" s="20"/>
    </row>
    <row r="65" spans="3:6" ht="27" customHeight="1">
      <c r="D65" s="20"/>
      <c r="E65" s="20"/>
      <c r="F65" s="20"/>
    </row>
    <row r="66" spans="3:6" ht="27" customHeight="1">
      <c r="D66" s="20"/>
      <c r="E66" s="20"/>
      <c r="F66" s="20"/>
    </row>
    <row r="67" spans="3:6" ht="27" customHeight="1">
      <c r="D67" s="20"/>
      <c r="E67" s="20"/>
      <c r="F67" s="20"/>
    </row>
    <row r="68" spans="3:6" ht="27" customHeight="1">
      <c r="C68" s="62"/>
      <c r="D68" s="63"/>
      <c r="E68" s="63"/>
      <c r="F68" s="63"/>
    </row>
  </sheetData>
  <mergeCells count="8">
    <mergeCell ref="A39:G39"/>
    <mergeCell ref="A40:G40"/>
    <mergeCell ref="A1:G1"/>
    <mergeCell ref="A2:G2"/>
    <mergeCell ref="A3:G3"/>
    <mergeCell ref="A4:G4"/>
    <mergeCell ref="A37:G37"/>
    <mergeCell ref="A38:G38"/>
  </mergeCells>
  <pageMargins left="0.23622047244094491" right="0.23622047244094491" top="0.74803149606299213" bottom="0.74803149606299213" header="0.31496062992125984" footer="0.31496062992125984"/>
  <pageSetup scale="47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8"/>
  <sheetViews>
    <sheetView zoomScale="90" zoomScaleNormal="90" workbookViewId="0">
      <selection activeCell="B45" sqref="B45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37" style="30" bestFit="1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37" style="6" customWidth="1"/>
    <col min="8" max="8" width="11.42578125" style="84"/>
    <col min="9" max="9" width="9.5703125" style="91" customWidth="1"/>
    <col min="10" max="10" width="17.5703125" style="86" customWidth="1"/>
    <col min="11" max="11" width="34.42578125" style="87" customWidth="1"/>
    <col min="12" max="12" width="10.7109375" style="109" customWidth="1"/>
    <col min="13" max="13" width="9.7109375" style="95" customWidth="1"/>
    <col min="14" max="14" width="8" style="117" customWidth="1"/>
    <col min="15" max="15" width="33.140625" style="131" customWidth="1"/>
    <col min="16" max="16" width="11.28515625" style="131" customWidth="1"/>
    <col min="17" max="17" width="11.7109375" style="2" customWidth="1"/>
    <col min="18" max="18" width="6.85546875" style="6" customWidth="1"/>
    <col min="19" max="19" width="13.85546875" style="6" customWidth="1"/>
    <col min="20" max="20" width="11.7109375" style="6" customWidth="1"/>
    <col min="21" max="21" width="43.42578125" style="6" customWidth="1"/>
    <col min="22" max="30" width="11.7109375" style="6" customWidth="1"/>
    <col min="31" max="31" width="11.7109375" style="20" customWidth="1"/>
    <col min="32" max="33" width="11.7109375" style="6" customWidth="1"/>
    <col min="34" max="34" width="11.7109375" style="20" customWidth="1"/>
    <col min="35" max="35" width="11.7109375" style="6" customWidth="1"/>
    <col min="36" max="36" width="2.28515625" style="6" customWidth="1"/>
    <col min="37" max="37" width="15.5703125" style="6" customWidth="1"/>
    <col min="38" max="38" width="11.42578125" style="6" customWidth="1"/>
    <col min="39" max="39" width="11.42578125" style="6"/>
    <col min="40" max="40" width="11.42578125" style="6" customWidth="1"/>
    <col min="41" max="41" width="42.28515625" style="6" customWidth="1"/>
    <col min="42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153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172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ht="27" customHeight="1">
      <c r="A7" s="31">
        <v>1</v>
      </c>
      <c r="B7" s="10" t="str">
        <f>+L7</f>
        <v xml:space="preserve">PINTO GONNZALEZ L.N MARIA DE LA LUZ  </v>
      </c>
      <c r="C7" s="6" t="str">
        <f>+M7</f>
        <v>JEFE DE DEPARTAMENTO DEL REGISTRO CIVIL</v>
      </c>
      <c r="D7" s="66">
        <f>H7</f>
        <v>364</v>
      </c>
      <c r="E7" s="20">
        <f>I7</f>
        <v>34.64</v>
      </c>
      <c r="F7" s="20">
        <f>D7-E7</f>
        <v>329.36</v>
      </c>
      <c r="G7" s="24" t="s">
        <v>18</v>
      </c>
      <c r="H7" s="84">
        <f>364*1</f>
        <v>364</v>
      </c>
      <c r="I7" s="91">
        <f>34.64*1</f>
        <v>34.64</v>
      </c>
      <c r="J7" s="86">
        <f t="shared" ref="J7" si="0">SUM(H7-I7)</f>
        <v>329.36</v>
      </c>
      <c r="L7" s="134" t="s">
        <v>155</v>
      </c>
      <c r="M7" s="134" t="s">
        <v>26</v>
      </c>
      <c r="N7" s="135">
        <v>8714.74</v>
      </c>
      <c r="O7" s="138">
        <v>1214.74</v>
      </c>
      <c r="P7" s="138">
        <v>0</v>
      </c>
      <c r="R7" s="2"/>
      <c r="S7" s="3"/>
      <c r="AC7" s="20"/>
      <c r="AE7" s="6"/>
      <c r="AF7" s="20"/>
      <c r="AH7" s="6"/>
    </row>
    <row r="8" spans="1:35" ht="27" customHeight="1">
      <c r="A8" s="31">
        <v>2</v>
      </c>
      <c r="B8" s="10" t="s">
        <v>173</v>
      </c>
      <c r="C8" s="6" t="s">
        <v>174</v>
      </c>
      <c r="D8" s="20">
        <f>H8*7</f>
        <v>1159.6573333333333</v>
      </c>
      <c r="E8" s="20">
        <f>I8*2</f>
        <v>0</v>
      </c>
      <c r="F8" s="20">
        <f t="shared" ref="F8:F10" si="1">D8-E8</f>
        <v>1159.6573333333333</v>
      </c>
      <c r="G8" s="24"/>
      <c r="H8" s="84">
        <f t="shared" ref="H8:I10" si="2">+N8/15</f>
        <v>165.66533333333334</v>
      </c>
      <c r="I8" s="84">
        <f>+O8/15</f>
        <v>0</v>
      </c>
      <c r="J8" s="86">
        <f t="shared" ref="J8:J10" si="3">+H8-I8</f>
        <v>165.66533333333334</v>
      </c>
      <c r="L8" s="134"/>
      <c r="M8" s="134"/>
      <c r="N8" s="141">
        <v>2484.98</v>
      </c>
      <c r="O8" s="138"/>
      <c r="P8" s="138"/>
      <c r="R8" s="2"/>
      <c r="S8" s="3"/>
      <c r="AC8" s="20"/>
      <c r="AE8" s="6"/>
      <c r="AF8" s="20"/>
      <c r="AH8" s="6"/>
    </row>
    <row r="9" spans="1:35" s="3" customFormat="1" ht="27" customHeight="1">
      <c r="A9" s="31">
        <v>3</v>
      </c>
      <c r="B9" s="10" t="str">
        <f t="shared" ref="B9:C10" si="4">+L9</f>
        <v xml:space="preserve">ABUNDIS MUÑOZ ALFREDO </v>
      </c>
      <c r="C9" s="6" t="str">
        <f t="shared" si="4"/>
        <v>CUADRILLA AGUA POTABLE Y ALCAN</v>
      </c>
      <c r="D9" s="20">
        <f>H9*2</f>
        <v>941.55200000000002</v>
      </c>
      <c r="E9" s="20">
        <f>I9*2</f>
        <v>114.88533333333334</v>
      </c>
      <c r="F9" s="20">
        <f t="shared" si="1"/>
        <v>826.66666666666674</v>
      </c>
      <c r="G9" s="24"/>
      <c r="H9" s="84">
        <f t="shared" si="2"/>
        <v>470.77600000000001</v>
      </c>
      <c r="I9" s="84">
        <f t="shared" si="2"/>
        <v>57.442666666666668</v>
      </c>
      <c r="J9" s="86">
        <f t="shared" si="3"/>
        <v>413.33333333333337</v>
      </c>
      <c r="K9" s="134"/>
      <c r="L9" s="134" t="s">
        <v>56</v>
      </c>
      <c r="M9" s="134" t="s">
        <v>57</v>
      </c>
      <c r="N9" s="134">
        <v>7061.64</v>
      </c>
      <c r="O9" s="134">
        <v>861.64</v>
      </c>
      <c r="P9" s="97">
        <v>705.1</v>
      </c>
      <c r="Q9" s="2"/>
      <c r="R9" s="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0"/>
      <c r="AG9" s="6"/>
      <c r="AH9" s="6"/>
      <c r="AI9" s="20"/>
    </row>
    <row r="10" spans="1:35" s="3" customFormat="1" ht="27" customHeight="1">
      <c r="A10" s="31">
        <v>4</v>
      </c>
      <c r="B10" s="10" t="str">
        <f t="shared" si="4"/>
        <v xml:space="preserve">ALVAREZ DEL CASTILLO SANCHEZ JORGE ENRIQUE </v>
      </c>
      <c r="C10" s="6" t="str">
        <f t="shared" si="4"/>
        <v>CHOFER DE CAMION ESCOLAR</v>
      </c>
      <c r="D10" s="20">
        <f>H10*3.67805</f>
        <v>1090.100459</v>
      </c>
      <c r="E10" s="20">
        <f>I10*3.67805</f>
        <v>90.099964833333331</v>
      </c>
      <c r="F10" s="20">
        <f t="shared" si="1"/>
        <v>1000.0004941666666</v>
      </c>
      <c r="G10" s="24"/>
      <c r="H10" s="84">
        <f t="shared" si="2"/>
        <v>296.38</v>
      </c>
      <c r="I10" s="84">
        <f t="shared" si="2"/>
        <v>24.496666666666666</v>
      </c>
      <c r="J10" s="86">
        <f t="shared" si="3"/>
        <v>271.88333333333333</v>
      </c>
      <c r="K10" s="134"/>
      <c r="L10" s="134" t="s">
        <v>127</v>
      </c>
      <c r="M10" s="134" t="s">
        <v>128</v>
      </c>
      <c r="N10" s="134">
        <v>4445.7</v>
      </c>
      <c r="O10" s="134">
        <v>367.45</v>
      </c>
      <c r="P10" s="97">
        <v>705.1</v>
      </c>
      <c r="Q10" s="2"/>
      <c r="R10" s="2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0"/>
      <c r="AG10" s="6"/>
      <c r="AH10" s="6"/>
      <c r="AI10" s="20"/>
    </row>
    <row r="11" spans="1:35" s="3" customFormat="1" ht="27" customHeight="1">
      <c r="A11" s="31">
        <v>5</v>
      </c>
      <c r="B11" s="10" t="str">
        <f t="shared" ref="B11:C44" si="5">+L11</f>
        <v xml:space="preserve">BARCENAS AVILA ENRIQUE </v>
      </c>
      <c r="C11" s="6" t="str">
        <f t="shared" si="5"/>
        <v xml:space="preserve">CHOFER  DE CAMION DE BASURA </v>
      </c>
      <c r="D11" s="20">
        <f>H11</f>
        <v>244.48266666666666</v>
      </c>
      <c r="E11" s="20">
        <f>I11</f>
        <v>11.149333333333335</v>
      </c>
      <c r="F11" s="20">
        <f t="shared" ref="F11:F44" si="6">D11-E11</f>
        <v>233.33333333333331</v>
      </c>
      <c r="G11" s="24"/>
      <c r="H11" s="84">
        <f t="shared" ref="H11:I44" si="7">+N11/15</f>
        <v>244.48266666666666</v>
      </c>
      <c r="I11" s="84">
        <f t="shared" si="7"/>
        <v>11.149333333333335</v>
      </c>
      <c r="J11" s="86">
        <f t="shared" ref="J11:J44" si="8">+H11-I11</f>
        <v>233.33333333333331</v>
      </c>
      <c r="K11" s="134"/>
      <c r="L11" s="134" t="s">
        <v>129</v>
      </c>
      <c r="M11" s="134" t="s">
        <v>130</v>
      </c>
      <c r="N11" s="141">
        <v>3667.24</v>
      </c>
      <c r="O11" s="91">
        <v>167.24</v>
      </c>
      <c r="P11" s="97">
        <v>64.94</v>
      </c>
      <c r="Q11" s="2"/>
      <c r="R11" s="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0"/>
      <c r="AG11" s="6"/>
      <c r="AH11" s="6"/>
      <c r="AI11" s="20"/>
    </row>
    <row r="12" spans="1:35" s="3" customFormat="1" ht="27" customHeight="1">
      <c r="A12" s="31">
        <v>6</v>
      </c>
      <c r="B12" s="10" t="str">
        <f t="shared" si="5"/>
        <v xml:space="preserve">CARRILLO VILLALOBOS ISA </v>
      </c>
      <c r="C12" s="6" t="str">
        <f t="shared" si="5"/>
        <v>BASURA</v>
      </c>
      <c r="D12" s="20">
        <f>H12</f>
        <v>184.87</v>
      </c>
      <c r="E12" s="20">
        <f>I12</f>
        <v>2.0960000000000001</v>
      </c>
      <c r="F12" s="20">
        <f t="shared" si="6"/>
        <v>182.774</v>
      </c>
      <c r="G12" s="24"/>
      <c r="H12" s="84">
        <f t="shared" si="7"/>
        <v>184.87</v>
      </c>
      <c r="I12" s="84">
        <f t="shared" si="7"/>
        <v>2.0960000000000001</v>
      </c>
      <c r="J12" s="86">
        <f t="shared" si="8"/>
        <v>182.774</v>
      </c>
      <c r="K12" s="134"/>
      <c r="L12" s="134" t="s">
        <v>132</v>
      </c>
      <c r="M12" s="134" t="s">
        <v>133</v>
      </c>
      <c r="N12" s="134">
        <v>2773.05</v>
      </c>
      <c r="O12" s="134">
        <v>31.44</v>
      </c>
      <c r="P12" s="134">
        <v>184.29</v>
      </c>
      <c r="Q12" s="2"/>
      <c r="R12" s="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0"/>
      <c r="AG12" s="6"/>
      <c r="AH12" s="6"/>
      <c r="AI12" s="20"/>
    </row>
    <row r="13" spans="1:35" s="3" customFormat="1" ht="27" customHeight="1">
      <c r="A13" s="31">
        <v>7</v>
      </c>
      <c r="B13" s="10" t="str">
        <f t="shared" si="5"/>
        <v xml:space="preserve">CORONA OLVERA SALVADOR </v>
      </c>
      <c r="C13" s="6" t="str">
        <f t="shared" si="5"/>
        <v>CHOFER DE CAMION ESCOLAR</v>
      </c>
      <c r="D13" s="20">
        <f>H13*6.20089</f>
        <v>2214.9579079999999</v>
      </c>
      <c r="E13" s="20">
        <f>I13*6.20089</f>
        <v>214.96005274000004</v>
      </c>
      <c r="F13" s="20">
        <f t="shared" si="6"/>
        <v>1999.9978552599998</v>
      </c>
      <c r="G13" s="24"/>
      <c r="H13" s="84">
        <f t="shared" si="7"/>
        <v>357.2</v>
      </c>
      <c r="I13" s="84">
        <f t="shared" si="7"/>
        <v>34.666000000000004</v>
      </c>
      <c r="J13" s="86">
        <f t="shared" si="8"/>
        <v>322.53399999999999</v>
      </c>
      <c r="K13" s="134"/>
      <c r="L13" s="134" t="s">
        <v>134</v>
      </c>
      <c r="M13" s="134" t="s">
        <v>128</v>
      </c>
      <c r="N13" s="134">
        <v>5358</v>
      </c>
      <c r="O13" s="134">
        <v>519.99</v>
      </c>
      <c r="P13" s="134"/>
      <c r="Q13" s="2"/>
      <c r="R13" s="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0"/>
      <c r="AG13" s="6"/>
      <c r="AH13" s="6"/>
      <c r="AI13" s="20"/>
    </row>
    <row r="14" spans="1:35" s="3" customFormat="1" ht="27" customHeight="1">
      <c r="A14" s="31">
        <v>8</v>
      </c>
      <c r="B14" s="10" t="str">
        <f t="shared" si="5"/>
        <v xml:space="preserve">DELGADILLO SANCHEZ ROBERTO CARLOS </v>
      </c>
      <c r="C14" s="6" t="str">
        <f t="shared" si="5"/>
        <v>BASURA</v>
      </c>
      <c r="D14" s="20">
        <f>H14</f>
        <v>224.43766666666667</v>
      </c>
      <c r="E14" s="20">
        <f>I14</f>
        <v>7.7713333333333328</v>
      </c>
      <c r="F14" s="20">
        <f t="shared" si="6"/>
        <v>216.66633333333334</v>
      </c>
      <c r="G14" s="24"/>
      <c r="H14" s="84">
        <f t="shared" si="7"/>
        <v>224.43766666666667</v>
      </c>
      <c r="I14" s="84">
        <f t="shared" si="7"/>
        <v>7.7713333333333328</v>
      </c>
      <c r="J14" s="86">
        <f t="shared" si="8"/>
        <v>216.66633333333334</v>
      </c>
      <c r="K14" s="134"/>
      <c r="L14" s="134" t="s">
        <v>135</v>
      </c>
      <c r="M14" s="134" t="s">
        <v>133</v>
      </c>
      <c r="N14" s="134">
        <v>3366.5650000000001</v>
      </c>
      <c r="O14" s="134">
        <v>116.57</v>
      </c>
      <c r="P14" s="134"/>
      <c r="Q14" s="2"/>
      <c r="R14" s="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0"/>
      <c r="AG14" s="6"/>
      <c r="AH14" s="6"/>
      <c r="AI14" s="20"/>
    </row>
    <row r="15" spans="1:35" s="3" customFormat="1" ht="27" customHeight="1">
      <c r="A15" s="31">
        <v>9</v>
      </c>
      <c r="B15" s="10" t="s">
        <v>175</v>
      </c>
      <c r="C15" s="6" t="s">
        <v>177</v>
      </c>
      <c r="D15" s="20">
        <f>H15</f>
        <v>185.49799999999999</v>
      </c>
      <c r="E15" s="20">
        <f>I15</f>
        <v>2.1646666666666667</v>
      </c>
      <c r="F15" s="20">
        <f t="shared" ref="F15" si="9">D15-E15</f>
        <v>183.33333333333331</v>
      </c>
      <c r="G15" s="24"/>
      <c r="H15" s="84">
        <f t="shared" ref="H15" si="10">+N15/15</f>
        <v>185.49799999999999</v>
      </c>
      <c r="I15" s="84">
        <f t="shared" ref="I15" si="11">+O15/15</f>
        <v>2.1646666666666667</v>
      </c>
      <c r="J15" s="86">
        <f t="shared" ref="J15" si="12">+H15-I15</f>
        <v>183.33333333333331</v>
      </c>
      <c r="K15" s="134"/>
      <c r="L15" s="134"/>
      <c r="M15" s="134"/>
      <c r="N15" s="134">
        <v>2782.47</v>
      </c>
      <c r="O15" s="134">
        <v>32.47</v>
      </c>
      <c r="P15" s="134"/>
      <c r="Q15" s="2"/>
      <c r="R15" s="2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20"/>
      <c r="AG15" s="6"/>
      <c r="AH15" s="6"/>
      <c r="AI15" s="20"/>
    </row>
    <row r="16" spans="1:35" s="3" customFormat="1" ht="27" customHeight="1">
      <c r="A16" s="31">
        <v>10</v>
      </c>
      <c r="B16" s="10" t="s">
        <v>68</v>
      </c>
      <c r="C16" s="22" t="s">
        <v>69</v>
      </c>
      <c r="D16" s="4">
        <f>H16*0.5</f>
        <v>122.24133333333333</v>
      </c>
      <c r="E16" s="4">
        <f>I16*0.5</f>
        <v>5.5746666666666673</v>
      </c>
      <c r="F16" s="2">
        <f t="shared" ref="F16" si="13">D16-E16</f>
        <v>116.66666666666666</v>
      </c>
      <c r="G16" s="24"/>
      <c r="H16" s="84">
        <f>+O16/30</f>
        <v>244.48266666666666</v>
      </c>
      <c r="I16" s="91">
        <f t="shared" ref="I16" si="14">+P16/30</f>
        <v>11.149333333333335</v>
      </c>
      <c r="J16" s="86">
        <f t="shared" ref="J16" si="15">SUM(H16-I16)</f>
        <v>233.33333333333331</v>
      </c>
      <c r="K16" s="142"/>
      <c r="L16" s="98" t="s">
        <v>68</v>
      </c>
      <c r="M16" s="143"/>
      <c r="N16" s="144" t="s">
        <v>69</v>
      </c>
      <c r="O16" s="97">
        <v>7334.48</v>
      </c>
      <c r="P16" s="97">
        <v>334.48</v>
      </c>
      <c r="Q16" s="2"/>
      <c r="R16" s="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20"/>
      <c r="AG16" s="6"/>
      <c r="AH16" s="6"/>
      <c r="AI16" s="20"/>
    </row>
    <row r="17" spans="1:35" s="3" customFormat="1" ht="27" customHeight="1">
      <c r="A17" s="31">
        <v>11</v>
      </c>
      <c r="B17" s="10" t="str">
        <f t="shared" ref="B17:C17" si="16">+L17</f>
        <v xml:space="preserve">GONZALEZ VAZQUEZ SALVADOR </v>
      </c>
      <c r="C17" s="6" t="str">
        <f t="shared" si="16"/>
        <v>BASURA</v>
      </c>
      <c r="D17" s="20">
        <f t="shared" ref="D17:E17" si="17">H17</f>
        <v>339.93333333333334</v>
      </c>
      <c r="E17" s="20">
        <f t="shared" si="17"/>
        <v>31.571999999999999</v>
      </c>
      <c r="F17" s="20">
        <f t="shared" ref="F17" si="18">D17-E17</f>
        <v>308.36133333333333</v>
      </c>
      <c r="G17" s="24"/>
      <c r="H17" s="84">
        <f t="shared" ref="H17:I17" si="19">+N17/15</f>
        <v>339.93333333333334</v>
      </c>
      <c r="I17" s="84">
        <f t="shared" si="19"/>
        <v>31.571999999999999</v>
      </c>
      <c r="J17" s="86">
        <f t="shared" ref="J17" si="20">+H17-I17</f>
        <v>308.36133333333333</v>
      </c>
      <c r="K17" s="134"/>
      <c r="L17" s="134" t="s">
        <v>137</v>
      </c>
      <c r="M17" s="134" t="s">
        <v>133</v>
      </c>
      <c r="N17" s="134">
        <v>5099</v>
      </c>
      <c r="O17" s="134">
        <v>473.58</v>
      </c>
      <c r="P17" s="134"/>
      <c r="Q17" s="2"/>
      <c r="R17" s="2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20"/>
      <c r="AG17" s="6"/>
      <c r="AH17" s="6"/>
      <c r="AI17" s="20"/>
    </row>
    <row r="18" spans="1:35" s="3" customFormat="1" ht="27" customHeight="1">
      <c r="A18" s="31">
        <v>12</v>
      </c>
      <c r="B18" s="10" t="str">
        <f t="shared" ref="B18:C19" si="21">+L18</f>
        <v xml:space="preserve">GUZMAN DELGADO MAYQUENA </v>
      </c>
      <c r="C18" s="6" t="str">
        <f t="shared" si="21"/>
        <v>AUX ADMINISTRATIVO A</v>
      </c>
      <c r="D18" s="20">
        <f>H18*2</f>
        <v>488.96533333333332</v>
      </c>
      <c r="E18" s="20">
        <f>I18*2</f>
        <v>22.298666666666669</v>
      </c>
      <c r="F18" s="20">
        <f t="shared" ref="F18:F19" si="22">D18-E18</f>
        <v>466.66666666666663</v>
      </c>
      <c r="G18" s="24"/>
      <c r="H18" s="84">
        <f t="shared" ref="H18:I19" si="23">+N18/15</f>
        <v>244.48266666666666</v>
      </c>
      <c r="I18" s="84">
        <f t="shared" si="23"/>
        <v>11.149333333333335</v>
      </c>
      <c r="J18" s="86">
        <f t="shared" ref="J18:J19" si="24">+H18-I18</f>
        <v>233.33333333333331</v>
      </c>
      <c r="K18" s="134"/>
      <c r="L18" s="134" t="s">
        <v>138</v>
      </c>
      <c r="M18" s="134" t="s">
        <v>139</v>
      </c>
      <c r="N18" s="134">
        <v>3667.24</v>
      </c>
      <c r="O18" s="134">
        <v>167.24</v>
      </c>
      <c r="P18" s="134"/>
      <c r="Q18" s="2"/>
      <c r="R18" s="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20"/>
      <c r="AG18" s="6"/>
      <c r="AH18" s="6"/>
      <c r="AI18" s="20"/>
    </row>
    <row r="19" spans="1:35" s="3" customFormat="1" ht="27" customHeight="1">
      <c r="A19" s="31">
        <v>13</v>
      </c>
      <c r="B19" s="10" t="str">
        <f t="shared" si="21"/>
        <v xml:space="preserve">JIMENEZ DE LA CRUZ ROGELIO </v>
      </c>
      <c r="C19" s="6" t="str">
        <f t="shared" si="21"/>
        <v>CUADRILLA AGUA POTABLE Y ALCAN</v>
      </c>
      <c r="D19" s="20">
        <f>H19*5</f>
        <v>2368.4499999999998</v>
      </c>
      <c r="E19" s="20">
        <f>I19*5</f>
        <v>290.32333333333332</v>
      </c>
      <c r="F19" s="20">
        <f t="shared" si="22"/>
        <v>2078.1266666666666</v>
      </c>
      <c r="G19" s="24"/>
      <c r="H19" s="84">
        <f t="shared" si="23"/>
        <v>473.69</v>
      </c>
      <c r="I19" s="84">
        <f t="shared" si="23"/>
        <v>58.064666666666668</v>
      </c>
      <c r="J19" s="86">
        <f t="shared" si="24"/>
        <v>415.62533333333334</v>
      </c>
      <c r="K19" s="134"/>
      <c r="L19" s="134" t="s">
        <v>140</v>
      </c>
      <c r="M19" s="134" t="s">
        <v>57</v>
      </c>
      <c r="N19" s="134">
        <v>7105.35</v>
      </c>
      <c r="O19" s="134">
        <v>870.97</v>
      </c>
      <c r="P19" s="134"/>
      <c r="Q19" s="2"/>
      <c r="R19" s="2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20"/>
      <c r="AG19" s="6"/>
      <c r="AH19" s="6"/>
      <c r="AI19" s="20"/>
    </row>
    <row r="20" spans="1:35" s="3" customFormat="1" ht="27" customHeight="1">
      <c r="A20" s="31">
        <v>14</v>
      </c>
      <c r="B20" s="10" t="str">
        <f t="shared" ref="B20:C21" si="25">+L20</f>
        <v xml:space="preserve">MARQUEZ ROMERO GABRIEL </v>
      </c>
      <c r="C20" s="6" t="str">
        <f t="shared" si="25"/>
        <v>CHOFER ACARREADOR RASTRO</v>
      </c>
      <c r="D20" s="20">
        <f>H20*2</f>
        <v>565.08799999999997</v>
      </c>
      <c r="E20" s="20">
        <f>I20*2</f>
        <v>45.088000000000001</v>
      </c>
      <c r="F20" s="20">
        <f t="shared" ref="F20:F22" si="26">D20-E20</f>
        <v>520</v>
      </c>
      <c r="G20" s="24"/>
      <c r="H20" s="84">
        <f t="shared" ref="H20:I21" si="27">+N20/15</f>
        <v>282.54399999999998</v>
      </c>
      <c r="I20" s="84">
        <f t="shared" si="27"/>
        <v>22.544</v>
      </c>
      <c r="J20" s="86">
        <f t="shared" ref="J20:J21" si="28">+H20-I20</f>
        <v>260</v>
      </c>
      <c r="K20" s="134"/>
      <c r="L20" s="134" t="s">
        <v>72</v>
      </c>
      <c r="M20" s="134" t="s">
        <v>73</v>
      </c>
      <c r="N20" s="134">
        <v>4238.16</v>
      </c>
      <c r="O20" s="134">
        <v>338.16</v>
      </c>
      <c r="P20" s="134"/>
      <c r="Q20" s="2"/>
      <c r="R20" s="2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20"/>
      <c r="AG20" s="6"/>
      <c r="AH20" s="6"/>
      <c r="AI20" s="20"/>
    </row>
    <row r="21" spans="1:35" s="3" customFormat="1" ht="27" customHeight="1">
      <c r="A21" s="31">
        <v>15</v>
      </c>
      <c r="B21" s="10" t="str">
        <f t="shared" si="25"/>
        <v xml:space="preserve">MARTINEZ GONZALEZ HECTOR MIGUEL </v>
      </c>
      <c r="C21" s="6" t="str">
        <f t="shared" si="25"/>
        <v>CHOFER DE CAMION ESCOLAR</v>
      </c>
      <c r="D21" s="20">
        <f>H21*3.02403</f>
        <v>1110.2161659400001</v>
      </c>
      <c r="E21" s="20">
        <f>I21*3.02403</f>
        <v>110.21379738000002</v>
      </c>
      <c r="F21" s="20">
        <f t="shared" si="26"/>
        <v>1000.0023685600001</v>
      </c>
      <c r="G21" s="24"/>
      <c r="H21" s="84">
        <f t="shared" si="27"/>
        <v>367.13133333333337</v>
      </c>
      <c r="I21" s="84">
        <f t="shared" si="27"/>
        <v>36.446000000000005</v>
      </c>
      <c r="J21" s="86">
        <f t="shared" si="28"/>
        <v>330.68533333333335</v>
      </c>
      <c r="K21" s="134"/>
      <c r="L21" s="134" t="s">
        <v>141</v>
      </c>
      <c r="M21" s="134" t="s">
        <v>128</v>
      </c>
      <c r="N21" s="134">
        <v>5506.97</v>
      </c>
      <c r="O21" s="134">
        <v>546.69000000000005</v>
      </c>
      <c r="P21" s="97">
        <v>747.67840000000024</v>
      </c>
      <c r="Q21" s="2"/>
      <c r="R21" s="2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20"/>
      <c r="AG21" s="6"/>
      <c r="AH21" s="6"/>
      <c r="AI21" s="20"/>
    </row>
    <row r="22" spans="1:35" s="72" customFormat="1" ht="27" customHeight="1">
      <c r="A22" s="31">
        <v>16</v>
      </c>
      <c r="B22" s="68" t="s">
        <v>111</v>
      </c>
      <c r="C22" s="102" t="s">
        <v>112</v>
      </c>
      <c r="D22" s="75">
        <f t="shared" ref="D22:E22" si="29">H22*1</f>
        <v>185.49799999999999</v>
      </c>
      <c r="E22" s="75">
        <f t="shared" si="29"/>
        <v>2.1646666666666667</v>
      </c>
      <c r="F22" s="69">
        <f t="shared" si="26"/>
        <v>183.33333333333331</v>
      </c>
      <c r="G22" s="70"/>
      <c r="H22" s="97">
        <f t="shared" ref="H22:I22" si="30">+O22/30</f>
        <v>185.49799999999999</v>
      </c>
      <c r="I22" s="139">
        <f t="shared" si="30"/>
        <v>2.1646666666666667</v>
      </c>
      <c r="J22" s="140">
        <f t="shared" ref="J22" si="31">SUM(H22-I22)</f>
        <v>183.33333333333331</v>
      </c>
      <c r="K22" s="145"/>
      <c r="L22" s="146" t="s">
        <v>111</v>
      </c>
      <c r="M22" s="147"/>
      <c r="N22" s="148" t="s">
        <v>112</v>
      </c>
      <c r="O22" s="97">
        <v>5564.94</v>
      </c>
      <c r="P22" s="97">
        <v>64.94</v>
      </c>
      <c r="Q22" s="69"/>
      <c r="R22" s="69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34"/>
      <c r="AG22" s="71"/>
      <c r="AH22" s="71"/>
      <c r="AI22" s="34"/>
    </row>
    <row r="23" spans="1:35" s="3" customFormat="1" ht="27" customHeight="1">
      <c r="A23" s="31">
        <v>17</v>
      </c>
      <c r="B23" s="10" t="s">
        <v>78</v>
      </c>
      <c r="C23" s="102" t="s">
        <v>79</v>
      </c>
      <c r="D23" s="4">
        <f>H23*0.5</f>
        <v>102.09966666666666</v>
      </c>
      <c r="E23" s="4">
        <f>I23*0.5</f>
        <v>2.0996666666666668</v>
      </c>
      <c r="F23" s="2">
        <f t="shared" ref="F23:F24" si="32">D23-E23</f>
        <v>100</v>
      </c>
      <c r="G23" s="24"/>
      <c r="H23" s="84">
        <f t="shared" ref="H23:I23" si="33">+O23/30</f>
        <v>204.19933333333333</v>
      </c>
      <c r="I23" s="91">
        <f t="shared" si="33"/>
        <v>4.1993333333333336</v>
      </c>
      <c r="J23" s="86">
        <f t="shared" ref="J23" si="34">SUM(H23-I23)</f>
        <v>200</v>
      </c>
      <c r="K23" s="149"/>
      <c r="L23" s="98" t="s">
        <v>78</v>
      </c>
      <c r="M23" s="143"/>
      <c r="N23" s="144" t="s">
        <v>79</v>
      </c>
      <c r="O23" s="97">
        <v>6125.98</v>
      </c>
      <c r="P23" s="97">
        <v>125.98</v>
      </c>
      <c r="Q23" s="2"/>
      <c r="R23" s="2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20"/>
      <c r="AG23" s="6"/>
      <c r="AH23" s="6"/>
      <c r="AI23" s="20"/>
    </row>
    <row r="24" spans="1:35" s="3" customFormat="1" ht="27" customHeight="1">
      <c r="A24" s="31">
        <v>18</v>
      </c>
      <c r="B24" s="10" t="s">
        <v>80</v>
      </c>
      <c r="C24" s="6" t="s">
        <v>81</v>
      </c>
      <c r="D24" s="20">
        <f>H24*2</f>
        <v>448.87466666666666</v>
      </c>
      <c r="E24" s="20">
        <f>I24*2</f>
        <v>15.541333333333334</v>
      </c>
      <c r="F24" s="20">
        <f t="shared" si="32"/>
        <v>433.33333333333331</v>
      </c>
      <c r="G24" s="24"/>
      <c r="H24" s="84">
        <f t="shared" ref="H24" si="35">+N24/15</f>
        <v>224.43733333333333</v>
      </c>
      <c r="I24" s="84">
        <f t="shared" ref="I24" si="36">+O24/15</f>
        <v>7.7706666666666671</v>
      </c>
      <c r="J24" s="86">
        <f t="shared" ref="J24" si="37">+H24-I24</f>
        <v>216.66666666666666</v>
      </c>
      <c r="K24" s="134"/>
      <c r="L24" s="134"/>
      <c r="M24" s="134"/>
      <c r="N24" s="134">
        <v>3366.56</v>
      </c>
      <c r="O24" s="134">
        <v>116.56</v>
      </c>
      <c r="P24" s="134"/>
      <c r="Q24" s="2"/>
      <c r="R24" s="2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20"/>
      <c r="AG24" s="6"/>
      <c r="AH24" s="6"/>
      <c r="AI24" s="20"/>
    </row>
    <row r="25" spans="1:35" s="3" customFormat="1" ht="27" customHeight="1">
      <c r="A25" s="31">
        <v>19</v>
      </c>
      <c r="B25" s="10" t="str">
        <f t="shared" ref="B25:C25" si="38">+L25</f>
        <v>YAÑEZ JIMENEZ JORGE</v>
      </c>
      <c r="C25" s="6" t="str">
        <f t="shared" si="38"/>
        <v>BASURA</v>
      </c>
      <c r="D25" s="20">
        <f t="shared" ref="D25:E25" si="39">H25</f>
        <v>224.43766666666667</v>
      </c>
      <c r="E25" s="20">
        <f t="shared" si="39"/>
        <v>7.7713333333333328</v>
      </c>
      <c r="F25" s="20">
        <f t="shared" ref="F25" si="40">D25-E25</f>
        <v>216.66633333333334</v>
      </c>
      <c r="G25" s="24"/>
      <c r="H25" s="84">
        <f t="shared" ref="H25:I25" si="41">+N25/15</f>
        <v>224.43766666666667</v>
      </c>
      <c r="I25" s="84">
        <f t="shared" si="41"/>
        <v>7.7713333333333328</v>
      </c>
      <c r="J25" s="86">
        <f t="shared" ref="J25" si="42">+H25-I25</f>
        <v>216.66633333333334</v>
      </c>
      <c r="K25" s="134"/>
      <c r="L25" s="134" t="s">
        <v>142</v>
      </c>
      <c r="M25" s="134" t="s">
        <v>133</v>
      </c>
      <c r="N25" s="134">
        <v>3366.5650000000001</v>
      </c>
      <c r="O25" s="134">
        <v>116.57</v>
      </c>
      <c r="P25" s="97">
        <v>334.48</v>
      </c>
      <c r="Q25" s="2"/>
      <c r="R25" s="2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20"/>
      <c r="AG25" s="6"/>
      <c r="AH25" s="6"/>
      <c r="AI25" s="20"/>
    </row>
    <row r="26" spans="1:35" s="3" customFormat="1" ht="27" customHeight="1">
      <c r="A26" s="31">
        <v>20</v>
      </c>
      <c r="B26" s="10" t="str">
        <f t="shared" ref="B26:C26" si="43">+L26</f>
        <v xml:space="preserve">MARTINEZ NERY RAYMUNDO </v>
      </c>
      <c r="C26" s="6" t="str">
        <f t="shared" si="43"/>
        <v>MECANICO A</v>
      </c>
      <c r="D26" s="20">
        <f>H26*2</f>
        <v>716.34933333333333</v>
      </c>
      <c r="E26" s="20">
        <f>I26*2</f>
        <v>69.682666666666663</v>
      </c>
      <c r="F26" s="20">
        <f t="shared" ref="F26" si="44">D26-E26</f>
        <v>646.66666666666663</v>
      </c>
      <c r="G26" s="24"/>
      <c r="H26" s="84">
        <f t="shared" ref="H26:I26" si="45">+N26/15</f>
        <v>358.17466666666667</v>
      </c>
      <c r="I26" s="84">
        <f t="shared" si="45"/>
        <v>34.841333333333331</v>
      </c>
      <c r="J26" s="86">
        <f t="shared" ref="J26" si="46">+H26-I26</f>
        <v>323.33333333333331</v>
      </c>
      <c r="K26" s="134"/>
      <c r="L26" s="134" t="s">
        <v>143</v>
      </c>
      <c r="M26" s="134" t="s">
        <v>144</v>
      </c>
      <c r="N26" s="134">
        <v>5372.62</v>
      </c>
      <c r="O26" s="134">
        <v>522.62</v>
      </c>
      <c r="P26" s="97">
        <v>895.58</v>
      </c>
      <c r="Q26" s="2"/>
      <c r="R26" s="2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20"/>
      <c r="AG26" s="6"/>
      <c r="AH26" s="6"/>
      <c r="AI26" s="20"/>
    </row>
    <row r="27" spans="1:35" s="3" customFormat="1" ht="27" customHeight="1">
      <c r="A27" s="31">
        <v>21</v>
      </c>
      <c r="B27" s="10" t="str">
        <f t="shared" ref="B27:C27" si="47">+L27</f>
        <v xml:space="preserve">CORONADO ENCISO JESUS GUADALUPE </v>
      </c>
      <c r="C27" s="6" t="str">
        <f t="shared" si="47"/>
        <v>MEDICO B</v>
      </c>
      <c r="D27" s="20">
        <f>H27*12</f>
        <v>6971.7919999999995</v>
      </c>
      <c r="E27" s="20">
        <f>I27*12</f>
        <v>971.79200000000014</v>
      </c>
      <c r="F27" s="20">
        <f t="shared" ref="F27" si="48">D27-E27</f>
        <v>5999.9999999999991</v>
      </c>
      <c r="G27" s="24"/>
      <c r="H27" s="84">
        <f t="shared" ref="H27:I27" si="49">+N27/15</f>
        <v>580.98266666666666</v>
      </c>
      <c r="I27" s="84">
        <f t="shared" si="49"/>
        <v>80.982666666666674</v>
      </c>
      <c r="J27" s="86">
        <f t="shared" ref="J27" si="50">+H27-I27</f>
        <v>500</v>
      </c>
      <c r="K27" s="134"/>
      <c r="L27" s="134" t="s">
        <v>145</v>
      </c>
      <c r="M27" s="134" t="s">
        <v>146</v>
      </c>
      <c r="N27" s="134">
        <v>8714.74</v>
      </c>
      <c r="O27" s="97">
        <v>1214.74</v>
      </c>
      <c r="P27" s="97">
        <v>1214.74</v>
      </c>
      <c r="Q27" s="2"/>
      <c r="R27" s="2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20"/>
      <c r="AG27" s="6"/>
      <c r="AH27" s="6"/>
      <c r="AI27" s="20"/>
    </row>
    <row r="28" spans="1:35" s="3" customFormat="1" ht="27" customHeight="1">
      <c r="A28" s="31">
        <v>22</v>
      </c>
      <c r="B28" s="10" t="s">
        <v>176</v>
      </c>
      <c r="C28" s="6" t="str">
        <f t="shared" si="5"/>
        <v>MEDICO B</v>
      </c>
      <c r="D28" s="20">
        <f>H28*3</f>
        <v>1742.9479999999999</v>
      </c>
      <c r="E28" s="20">
        <f>I28*3</f>
        <v>242.94800000000004</v>
      </c>
      <c r="F28" s="20">
        <f t="shared" si="6"/>
        <v>1499.9999999999998</v>
      </c>
      <c r="G28" s="24"/>
      <c r="H28" s="84">
        <f t="shared" ref="H28" si="51">+N28/15</f>
        <v>580.98266666666666</v>
      </c>
      <c r="I28" s="84">
        <f t="shared" ref="I28" si="52">+O28/15</f>
        <v>80.982666666666674</v>
      </c>
      <c r="J28" s="86">
        <f t="shared" ref="J28" si="53">+H28-I28</f>
        <v>500</v>
      </c>
      <c r="K28" s="134"/>
      <c r="L28" s="134" t="s">
        <v>156</v>
      </c>
      <c r="M28" s="134" t="s">
        <v>146</v>
      </c>
      <c r="N28" s="97">
        <v>8714.74</v>
      </c>
      <c r="O28" s="95">
        <v>1214.74</v>
      </c>
      <c r="P28" s="95">
        <v>1214.74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20"/>
      <c r="AD28" s="6"/>
      <c r="AE28" s="6"/>
      <c r="AF28" s="20"/>
    </row>
    <row r="29" spans="1:35" s="3" customFormat="1" ht="27" customHeight="1">
      <c r="A29" s="31">
        <v>23</v>
      </c>
      <c r="B29" s="10" t="str">
        <f t="shared" si="5"/>
        <v xml:space="preserve">NAVARRO MORALES JENNIFER </v>
      </c>
      <c r="C29" s="6" t="str">
        <f t="shared" si="5"/>
        <v>MEDICO B</v>
      </c>
      <c r="D29" s="20">
        <f>H29*1</f>
        <v>580.98266666666666</v>
      </c>
      <c r="E29" s="20">
        <f>I29*1</f>
        <v>80.982666666666674</v>
      </c>
      <c r="F29" s="20">
        <f t="shared" si="6"/>
        <v>500</v>
      </c>
      <c r="G29" s="24"/>
      <c r="H29" s="84">
        <f t="shared" ref="H29:I29" si="54">+N29/15</f>
        <v>580.98266666666666</v>
      </c>
      <c r="I29" s="84">
        <f t="shared" si="54"/>
        <v>80.982666666666674</v>
      </c>
      <c r="J29" s="86">
        <f t="shared" ref="J29" si="55">+H29-I29</f>
        <v>500</v>
      </c>
      <c r="K29" s="134"/>
      <c r="L29" s="134" t="s">
        <v>148</v>
      </c>
      <c r="M29" s="134" t="s">
        <v>146</v>
      </c>
      <c r="N29" s="134">
        <v>8714.74</v>
      </c>
      <c r="O29" s="97">
        <v>1214.74</v>
      </c>
      <c r="P29" s="97">
        <v>1214.74</v>
      </c>
      <c r="Q29" s="2"/>
      <c r="R29" s="2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20"/>
      <c r="AG29" s="6"/>
      <c r="AH29" s="6"/>
      <c r="AI29" s="20"/>
    </row>
    <row r="30" spans="1:35" s="3" customFormat="1" ht="27" customHeight="1">
      <c r="A30" s="31"/>
      <c r="B30" s="10"/>
      <c r="C30" s="6"/>
      <c r="D30" s="20"/>
      <c r="E30" s="20"/>
      <c r="F30" s="20"/>
      <c r="G30" s="24"/>
      <c r="H30" s="84"/>
      <c r="I30" s="91"/>
      <c r="J30" s="86"/>
      <c r="K30" s="134"/>
      <c r="L30" s="134"/>
      <c r="M30" s="134"/>
      <c r="N30" s="97"/>
      <c r="O30" s="95"/>
      <c r="P30" s="95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20"/>
      <c r="AD30" s="6"/>
      <c r="AE30" s="6"/>
      <c r="AF30" s="20"/>
    </row>
    <row r="31" spans="1:35" s="3" customFormat="1" ht="27" customHeight="1">
      <c r="A31" s="31"/>
      <c r="B31" s="10"/>
      <c r="C31" s="67" t="s">
        <v>165</v>
      </c>
      <c r="D31" s="63">
        <f>SUM(D7:D30)</f>
        <v>22577.432199606665</v>
      </c>
      <c r="E31" s="63">
        <f t="shared" ref="E31:F31" si="56">SUM(E7:E30)</f>
        <v>2375.8194816199998</v>
      </c>
      <c r="F31" s="63">
        <f t="shared" si="56"/>
        <v>20201.612717986667</v>
      </c>
      <c r="G31" s="24"/>
      <c r="H31" s="84"/>
      <c r="I31" s="84"/>
      <c r="J31" s="86"/>
      <c r="K31" s="134"/>
      <c r="L31" s="134"/>
      <c r="M31" s="134"/>
      <c r="N31" s="97"/>
      <c r="O31" s="95"/>
      <c r="P31" s="95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20"/>
      <c r="AD31" s="6"/>
      <c r="AE31" s="6"/>
      <c r="AF31" s="20"/>
    </row>
    <row r="32" spans="1:35" s="3" customFormat="1" ht="27" customHeight="1">
      <c r="A32" s="31"/>
      <c r="B32" s="10" t="s">
        <v>179</v>
      </c>
      <c r="C32" s="6"/>
      <c r="D32" s="20"/>
      <c r="E32" s="20"/>
      <c r="F32" s="20"/>
      <c r="G32" s="24"/>
      <c r="H32" s="84"/>
      <c r="I32" s="84"/>
      <c r="J32" s="86"/>
      <c r="K32" s="134"/>
      <c r="L32" s="134"/>
      <c r="M32" s="134"/>
      <c r="N32" s="134"/>
      <c r="O32" s="95"/>
      <c r="P32" s="95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20"/>
      <c r="AD32" s="6"/>
      <c r="AE32" s="6"/>
      <c r="AF32" s="20"/>
    </row>
    <row r="33" spans="1:33" s="3" customFormat="1" ht="27" customHeight="1">
      <c r="A33" s="31"/>
      <c r="B33" s="10" t="s">
        <v>180</v>
      </c>
      <c r="C33" s="6"/>
      <c r="D33" s="20"/>
      <c r="E33" s="20"/>
      <c r="F33" s="20"/>
      <c r="G33" s="24"/>
      <c r="H33" s="84"/>
      <c r="I33" s="84"/>
      <c r="J33" s="86"/>
      <c r="K33" s="134"/>
      <c r="L33" s="134"/>
      <c r="M33" s="134"/>
      <c r="N33" s="134"/>
      <c r="O33" s="95"/>
      <c r="P33" s="95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20"/>
      <c r="AD33" s="6"/>
      <c r="AE33" s="6"/>
      <c r="AF33" s="20"/>
    </row>
    <row r="34" spans="1:33" s="3" customFormat="1" ht="27" customHeight="1">
      <c r="A34" s="31"/>
      <c r="B34" s="10"/>
      <c r="C34" s="6"/>
      <c r="D34" s="20"/>
      <c r="E34" s="20"/>
      <c r="F34" s="20"/>
      <c r="G34" s="24"/>
      <c r="H34" s="84"/>
      <c r="I34" s="84"/>
      <c r="J34" s="86"/>
      <c r="K34" s="134"/>
      <c r="L34" s="134"/>
      <c r="M34" s="134"/>
      <c r="N34" s="134"/>
      <c r="O34" s="95"/>
      <c r="P34" s="95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20"/>
      <c r="AD34" s="6"/>
      <c r="AE34" s="6"/>
      <c r="AF34" s="20"/>
    </row>
    <row r="35" spans="1:33" s="3" customFormat="1" ht="27" customHeight="1">
      <c r="A35" s="31"/>
      <c r="B35" s="10"/>
      <c r="C35" s="6"/>
      <c r="D35" s="20"/>
      <c r="E35" s="20"/>
      <c r="F35" s="20"/>
      <c r="G35" s="24"/>
      <c r="H35" s="84"/>
      <c r="I35" s="84"/>
      <c r="J35" s="86"/>
      <c r="K35" s="134"/>
      <c r="L35" s="134"/>
      <c r="M35" s="134"/>
      <c r="N35" s="134"/>
      <c r="O35" s="95"/>
      <c r="P35" s="95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20"/>
      <c r="AD35" s="6"/>
      <c r="AE35" s="6"/>
      <c r="AF35" s="20"/>
    </row>
    <row r="36" spans="1:33" s="3" customFormat="1" ht="27" customHeight="1">
      <c r="A36" s="31"/>
      <c r="B36" s="10"/>
      <c r="C36" s="6"/>
      <c r="D36" s="20"/>
      <c r="E36" s="20"/>
      <c r="F36" s="20"/>
      <c r="G36" s="24"/>
      <c r="H36" s="84"/>
      <c r="I36" s="84"/>
      <c r="J36" s="86"/>
      <c r="K36" s="134"/>
      <c r="L36" s="134"/>
      <c r="M36" s="134"/>
      <c r="N36" s="134"/>
      <c r="O36" s="95"/>
      <c r="P36" s="95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20"/>
      <c r="AD36" s="6"/>
      <c r="AE36" s="6"/>
      <c r="AF36" s="20"/>
    </row>
    <row r="37" spans="1:33" s="3" customFormat="1" ht="27" customHeight="1">
      <c r="A37" s="31"/>
      <c r="B37" s="10"/>
      <c r="C37" s="6"/>
      <c r="D37" s="20"/>
      <c r="E37" s="20"/>
      <c r="F37" s="20"/>
      <c r="G37" s="24"/>
      <c r="H37" s="84"/>
      <c r="I37" s="84"/>
      <c r="J37" s="86"/>
      <c r="K37" s="134"/>
      <c r="L37" s="134"/>
      <c r="M37" s="134"/>
      <c r="N37" s="134"/>
      <c r="O37" s="95"/>
      <c r="P37" s="95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20"/>
      <c r="AD37" s="6"/>
      <c r="AE37" s="6"/>
      <c r="AF37" s="20"/>
    </row>
    <row r="38" spans="1:33" s="3" customFormat="1" ht="27" customHeight="1">
      <c r="A38" s="31"/>
      <c r="B38" s="10"/>
      <c r="C38" s="6"/>
      <c r="D38" s="20"/>
      <c r="E38" s="20"/>
      <c r="F38" s="20"/>
      <c r="G38" s="24"/>
      <c r="H38" s="84"/>
      <c r="I38" s="84"/>
      <c r="J38" s="86"/>
      <c r="K38" s="134"/>
      <c r="L38" s="134"/>
      <c r="M38" s="134"/>
      <c r="N38" s="134"/>
      <c r="O38" s="95"/>
      <c r="P38" s="95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20"/>
      <c r="AD38" s="6"/>
      <c r="AE38" s="6"/>
      <c r="AF38" s="20"/>
    </row>
    <row r="39" spans="1:33" s="3" customFormat="1" ht="27" customHeight="1">
      <c r="A39" s="241" t="s">
        <v>24</v>
      </c>
      <c r="B39" s="242"/>
      <c r="C39" s="242"/>
      <c r="D39" s="242"/>
      <c r="E39" s="242"/>
      <c r="F39" s="242"/>
      <c r="G39" s="243"/>
      <c r="H39" s="84"/>
      <c r="I39" s="84"/>
      <c r="J39" s="86"/>
      <c r="K39" s="134"/>
      <c r="L39" s="134"/>
      <c r="M39" s="134"/>
      <c r="N39" s="134"/>
      <c r="O39" s="95"/>
      <c r="P39" s="95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20"/>
      <c r="AD39" s="6"/>
      <c r="AE39" s="6"/>
      <c r="AF39" s="20"/>
    </row>
    <row r="40" spans="1:33" s="3" customFormat="1" ht="27" customHeight="1">
      <c r="A40" s="241" t="s">
        <v>153</v>
      </c>
      <c r="B40" s="242"/>
      <c r="C40" s="242"/>
      <c r="D40" s="242"/>
      <c r="E40" s="242"/>
      <c r="F40" s="242"/>
      <c r="G40" s="243"/>
      <c r="H40" s="84"/>
      <c r="I40" s="84"/>
      <c r="J40" s="86"/>
      <c r="K40" s="134"/>
      <c r="L40" s="134"/>
      <c r="M40" s="134"/>
      <c r="N40" s="134"/>
      <c r="O40" s="95"/>
      <c r="P40" s="95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20"/>
      <c r="AD40" s="6"/>
      <c r="AE40" s="6"/>
      <c r="AF40" s="20"/>
    </row>
    <row r="41" spans="1:33" s="3" customFormat="1" ht="27" customHeight="1">
      <c r="A41" s="241" t="str">
        <f>+A3</f>
        <v xml:space="preserve">AYUNTAMIENTO Y QUE  CORRESPONDEN A LA PRIMER  QUINCENA DE MAYO DE 2019 </v>
      </c>
      <c r="B41" s="242"/>
      <c r="C41" s="242"/>
      <c r="D41" s="242"/>
      <c r="E41" s="242"/>
      <c r="F41" s="242"/>
      <c r="G41" s="243"/>
      <c r="H41" s="84"/>
      <c r="I41" s="84"/>
      <c r="J41" s="86"/>
      <c r="K41" s="134"/>
      <c r="L41" s="134"/>
      <c r="M41" s="134"/>
      <c r="N41" s="134"/>
      <c r="O41" s="95"/>
      <c r="P41" s="95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20"/>
      <c r="AD41" s="6"/>
      <c r="AE41" s="6"/>
      <c r="AF41" s="20"/>
    </row>
    <row r="42" spans="1:33" s="3" customFormat="1" ht="27" customHeight="1">
      <c r="A42" s="241" t="s">
        <v>27</v>
      </c>
      <c r="B42" s="242"/>
      <c r="C42" s="242"/>
      <c r="D42" s="242"/>
      <c r="E42" s="242"/>
      <c r="F42" s="242"/>
      <c r="G42" s="243"/>
      <c r="H42" s="84"/>
      <c r="I42" s="84"/>
      <c r="J42" s="86"/>
      <c r="K42" s="134"/>
      <c r="L42" s="134"/>
      <c r="M42" s="134"/>
      <c r="N42" s="134"/>
      <c r="O42" s="95"/>
      <c r="P42" s="95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20"/>
      <c r="AD42" s="6"/>
      <c r="AE42" s="6"/>
      <c r="AF42" s="20"/>
    </row>
    <row r="43" spans="1:33" s="3" customFormat="1" ht="27" customHeight="1">
      <c r="A43" s="31">
        <v>1</v>
      </c>
      <c r="B43" s="10"/>
      <c r="C43" s="6" t="str">
        <f t="shared" si="5"/>
        <v>POLICIA DE LINEA</v>
      </c>
      <c r="D43" s="20">
        <f t="shared" ref="D43:E43" si="57">H43</f>
        <v>391.47533333333337</v>
      </c>
      <c r="E43" s="20">
        <f t="shared" si="57"/>
        <v>40.808666666666667</v>
      </c>
      <c r="F43" s="20">
        <f t="shared" si="6"/>
        <v>350.66666666666669</v>
      </c>
      <c r="G43" s="24"/>
      <c r="H43" s="84">
        <f t="shared" si="7"/>
        <v>391.47533333333337</v>
      </c>
      <c r="I43" s="84">
        <f t="shared" si="7"/>
        <v>40.808666666666667</v>
      </c>
      <c r="J43" s="86">
        <f t="shared" si="8"/>
        <v>350.66666666666669</v>
      </c>
      <c r="K43" s="134"/>
      <c r="L43" s="134" t="s">
        <v>162</v>
      </c>
      <c r="M43" s="134" t="s">
        <v>90</v>
      </c>
      <c r="N43" s="134">
        <v>5872.13</v>
      </c>
      <c r="O43" s="95">
        <v>612.13</v>
      </c>
      <c r="P43" s="95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20"/>
      <c r="AD43" s="6"/>
      <c r="AE43" s="6"/>
      <c r="AF43" s="20"/>
    </row>
    <row r="44" spans="1:33" s="3" customFormat="1" ht="27" customHeight="1">
      <c r="A44" s="31">
        <v>2</v>
      </c>
      <c r="B44" s="10"/>
      <c r="C44" s="6" t="str">
        <f t="shared" si="5"/>
        <v>POLICIA DE LINEA</v>
      </c>
      <c r="D44" s="20">
        <f>H44*1</f>
        <v>391.47533333333337</v>
      </c>
      <c r="E44" s="20">
        <f>I44</f>
        <v>40.808666666666667</v>
      </c>
      <c r="F44" s="20">
        <f t="shared" si="6"/>
        <v>350.66666666666669</v>
      </c>
      <c r="G44" s="24"/>
      <c r="H44" s="84">
        <f t="shared" si="7"/>
        <v>391.47533333333337</v>
      </c>
      <c r="I44" s="84">
        <f t="shared" si="7"/>
        <v>40.808666666666667</v>
      </c>
      <c r="J44" s="86">
        <f t="shared" si="8"/>
        <v>350.66666666666669</v>
      </c>
      <c r="K44" s="134"/>
      <c r="L44" s="134" t="s">
        <v>164</v>
      </c>
      <c r="M44" s="134" t="s">
        <v>90</v>
      </c>
      <c r="N44" s="97">
        <v>5872.13</v>
      </c>
      <c r="O44" s="95">
        <v>612.13</v>
      </c>
      <c r="P44" s="95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20"/>
      <c r="AD44" s="6"/>
      <c r="AE44" s="6"/>
      <c r="AF44" s="20"/>
    </row>
    <row r="45" spans="1:33" s="3" customFormat="1" ht="27" customHeight="1">
      <c r="A45" s="31"/>
      <c r="B45" s="10"/>
      <c r="C45" s="67" t="s">
        <v>165</v>
      </c>
      <c r="D45" s="63">
        <f>SUM(D43:D44)</f>
        <v>782.95066666666673</v>
      </c>
      <c r="E45" s="63">
        <f>SUM(E43:E44)</f>
        <v>81.617333333333335</v>
      </c>
      <c r="F45" s="63">
        <f>SUM(F43:F44)</f>
        <v>701.33333333333337</v>
      </c>
      <c r="G45" s="24"/>
      <c r="H45" s="84"/>
      <c r="I45" s="84"/>
      <c r="J45" s="86"/>
      <c r="K45" s="134"/>
      <c r="L45" s="134"/>
      <c r="M45" s="134"/>
      <c r="N45" s="97"/>
      <c r="O45" s="95"/>
      <c r="P45" s="95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20"/>
      <c r="AD45" s="6"/>
      <c r="AE45" s="6"/>
      <c r="AF45" s="20"/>
    </row>
    <row r="46" spans="1:33" s="3" customFormat="1" ht="27" customHeight="1">
      <c r="A46" s="31"/>
      <c r="B46" s="10"/>
      <c r="C46" s="6"/>
      <c r="D46" s="20"/>
      <c r="E46" s="20"/>
      <c r="F46" s="20"/>
      <c r="G46" s="24"/>
      <c r="H46" s="84"/>
      <c r="I46" s="84"/>
      <c r="J46" s="86"/>
      <c r="K46" s="134"/>
      <c r="L46" s="134"/>
      <c r="M46" s="134"/>
      <c r="N46" s="97"/>
      <c r="O46" s="95"/>
      <c r="P46" s="95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20"/>
      <c r="AD46" s="6"/>
      <c r="AE46" s="6"/>
      <c r="AF46" s="20"/>
    </row>
    <row r="47" spans="1:33" s="3" customFormat="1" ht="27" customHeight="1">
      <c r="A47" s="31"/>
      <c r="B47" s="10" t="s">
        <v>104</v>
      </c>
      <c r="C47" s="6"/>
      <c r="D47" s="20"/>
      <c r="E47" s="20"/>
      <c r="F47" s="20"/>
      <c r="G47" s="24"/>
      <c r="H47" s="84"/>
      <c r="I47" s="84"/>
      <c r="J47" s="86"/>
      <c r="K47" s="134"/>
      <c r="L47" s="134"/>
      <c r="M47" s="134"/>
      <c r="N47" s="134"/>
      <c r="O47" s="95"/>
      <c r="P47" s="97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20"/>
      <c r="AE47" s="6"/>
      <c r="AF47" s="6"/>
      <c r="AG47" s="20"/>
    </row>
    <row r="48" spans="1:33" s="3" customFormat="1" ht="27" customHeight="1">
      <c r="A48" s="31"/>
      <c r="B48" s="10" t="str">
        <f>+B33</f>
        <v>IXTLAHUACAN DEL RIO JALISCO A 15 DE MAYO DE 2019</v>
      </c>
      <c r="C48" s="6"/>
      <c r="D48" s="20"/>
      <c r="E48" s="20"/>
      <c r="F48" s="20"/>
      <c r="G48" s="24"/>
      <c r="H48" s="84"/>
      <c r="I48" s="84"/>
      <c r="J48" s="86"/>
      <c r="K48" s="134"/>
      <c r="L48" s="134"/>
      <c r="M48" s="134"/>
      <c r="N48" s="134"/>
      <c r="O48" s="95"/>
      <c r="P48" s="97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20"/>
      <c r="AE48" s="6"/>
      <c r="AF48" s="6"/>
      <c r="AG48" s="20"/>
    </row>
    <row r="49" spans="1:34" s="3" customFormat="1" ht="27" customHeight="1">
      <c r="A49" s="31"/>
      <c r="B49" s="10"/>
      <c r="C49" s="6"/>
      <c r="D49" s="20"/>
      <c r="E49" s="20"/>
      <c r="F49" s="20"/>
      <c r="G49" s="24"/>
      <c r="H49" s="84"/>
      <c r="I49" s="84"/>
      <c r="J49" s="86"/>
      <c r="K49" s="134"/>
      <c r="L49" s="134"/>
      <c r="M49" s="134"/>
      <c r="N49" s="134"/>
      <c r="O49" s="95"/>
      <c r="P49" s="97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20"/>
      <c r="AE49" s="6"/>
      <c r="AF49" s="6"/>
      <c r="AG49" s="20"/>
    </row>
    <row r="50" spans="1:34" s="3" customFormat="1" ht="27" customHeight="1">
      <c r="A50" s="31"/>
      <c r="B50" s="10"/>
      <c r="C50" s="6"/>
      <c r="D50" s="20"/>
      <c r="E50" s="20"/>
      <c r="F50" s="20"/>
      <c r="G50" s="24"/>
      <c r="H50" s="84"/>
      <c r="I50" s="84"/>
      <c r="J50" s="86"/>
      <c r="K50" s="134"/>
      <c r="L50" s="134"/>
      <c r="M50" s="134"/>
      <c r="N50" s="134"/>
      <c r="O50" s="95"/>
      <c r="P50" s="97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20"/>
      <c r="AE50" s="6"/>
      <c r="AF50" s="6"/>
      <c r="AG50" s="20"/>
    </row>
    <row r="51" spans="1:34" s="3" customFormat="1" ht="27" customHeight="1">
      <c r="A51" s="31"/>
      <c r="B51" s="10"/>
      <c r="C51" s="6"/>
      <c r="D51" s="20"/>
      <c r="E51" s="20"/>
      <c r="F51" s="20"/>
      <c r="G51" s="24"/>
      <c r="H51" s="84"/>
      <c r="I51" s="84"/>
      <c r="J51" s="86"/>
      <c r="K51" s="134"/>
      <c r="L51" s="134"/>
      <c r="M51" s="134"/>
      <c r="N51" s="134"/>
      <c r="O51" s="97"/>
      <c r="P51" s="134"/>
      <c r="Q51" s="2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20"/>
      <c r="AF51" s="6"/>
      <c r="AG51" s="6"/>
      <c r="AH51" s="20"/>
    </row>
    <row r="52" spans="1:34" s="3" customFormat="1" ht="27" customHeight="1">
      <c r="A52" s="9"/>
      <c r="B52" s="10"/>
      <c r="C52" s="26"/>
      <c r="D52" s="4"/>
      <c r="E52" s="4"/>
      <c r="F52" s="4"/>
      <c r="G52" s="24"/>
      <c r="H52" s="84"/>
      <c r="I52" s="91"/>
      <c r="J52" s="86"/>
      <c r="K52" s="87"/>
      <c r="L52" s="110"/>
      <c r="M52" s="118"/>
      <c r="N52" s="118"/>
      <c r="O52" s="131"/>
      <c r="P52" s="118"/>
      <c r="Q52" s="2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20"/>
      <c r="AF52" s="6"/>
      <c r="AG52" s="6"/>
      <c r="AH52" s="20"/>
    </row>
    <row r="53" spans="1:34" s="3" customFormat="1" ht="27" customHeight="1">
      <c r="A53" s="9"/>
      <c r="B53" s="10"/>
      <c r="C53" s="26"/>
      <c r="D53" s="32">
        <f>SUM(D7:D52)</f>
        <v>46720.765732546664</v>
      </c>
      <c r="E53" s="32">
        <f>SUM(E7:E52)</f>
        <v>4914.8736299066668</v>
      </c>
      <c r="F53" s="32">
        <f>SUM(F7:F52)</f>
        <v>41805.892102639998</v>
      </c>
      <c r="G53" s="24"/>
      <c r="H53" s="84"/>
      <c r="I53" s="91"/>
      <c r="J53" s="86"/>
      <c r="K53" s="87"/>
      <c r="L53" s="110"/>
      <c r="M53" s="118"/>
      <c r="N53" s="118"/>
      <c r="O53" s="131"/>
      <c r="P53" s="118"/>
      <c r="Q53" s="2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20"/>
      <c r="AF53" s="6"/>
      <c r="AG53" s="6"/>
      <c r="AH53" s="20"/>
    </row>
    <row r="54" spans="1:34" s="3" customFormat="1" ht="27" customHeight="1">
      <c r="A54" s="9"/>
      <c r="C54" s="30"/>
      <c r="D54" s="4"/>
      <c r="E54" s="4"/>
      <c r="F54" s="4"/>
      <c r="G54" s="24" t="s">
        <v>18</v>
      </c>
      <c r="H54" s="84"/>
      <c r="I54" s="91"/>
      <c r="J54" s="86">
        <f>SUM(H54-I54)</f>
        <v>0</v>
      </c>
      <c r="K54" s="87"/>
      <c r="L54" s="110"/>
      <c r="M54" s="118"/>
      <c r="N54" s="120"/>
      <c r="O54" s="131"/>
      <c r="P54" s="131"/>
      <c r="Q54" s="2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20"/>
      <c r="AF54" s="6"/>
      <c r="AG54" s="6"/>
      <c r="AH54" s="20"/>
    </row>
    <row r="55" spans="1:34" s="3" customFormat="1" ht="27" customHeight="1">
      <c r="A55" s="9"/>
      <c r="C55" s="26"/>
      <c r="D55" s="4"/>
      <c r="E55" s="4"/>
      <c r="F55" s="4"/>
      <c r="G55" s="24" t="s">
        <v>18</v>
      </c>
      <c r="H55" s="84"/>
      <c r="I55" s="91"/>
      <c r="J55" s="86">
        <f>SUM(H55-I55)</f>
        <v>0</v>
      </c>
      <c r="K55" s="87"/>
      <c r="L55" s="109"/>
      <c r="M55" s="95"/>
      <c r="N55" s="117"/>
      <c r="O55" s="131"/>
      <c r="P55" s="131"/>
      <c r="Q55" s="2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20"/>
      <c r="AF55" s="6"/>
      <c r="AG55" s="6"/>
      <c r="AH55" s="20"/>
    </row>
    <row r="56" spans="1:34" s="3" customFormat="1" ht="27" customHeight="1">
      <c r="A56" s="9"/>
      <c r="B56" s="10"/>
      <c r="C56" s="26"/>
      <c r="D56" s="28"/>
      <c r="E56" s="28"/>
      <c r="F56" s="21"/>
      <c r="G56" s="24" t="s">
        <v>18</v>
      </c>
      <c r="H56" s="91"/>
      <c r="I56" s="91"/>
      <c r="J56" s="86"/>
      <c r="K56" s="98"/>
      <c r="L56" s="98"/>
      <c r="M56" s="95"/>
      <c r="N56" s="117"/>
      <c r="O56" s="131"/>
      <c r="P56" s="131"/>
      <c r="Q56" s="2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20"/>
      <c r="AF56" s="6"/>
      <c r="AG56" s="6"/>
      <c r="AH56" s="20"/>
    </row>
    <row r="64" spans="1:34" ht="27" customHeight="1">
      <c r="D64" s="20"/>
      <c r="E64" s="20"/>
      <c r="F64" s="20"/>
    </row>
    <row r="65" spans="3:6" ht="27" customHeight="1">
      <c r="D65" s="20"/>
      <c r="E65" s="20"/>
      <c r="F65" s="20"/>
    </row>
    <row r="66" spans="3:6" ht="27" customHeight="1">
      <c r="D66" s="20"/>
      <c r="E66" s="20"/>
      <c r="F66" s="20"/>
    </row>
    <row r="67" spans="3:6" ht="27" customHeight="1">
      <c r="D67" s="20"/>
      <c r="E67" s="20"/>
      <c r="F67" s="20"/>
    </row>
    <row r="68" spans="3:6" ht="27" customHeight="1">
      <c r="C68" s="62"/>
      <c r="D68" s="63"/>
      <c r="E68" s="63"/>
      <c r="F68" s="63"/>
    </row>
  </sheetData>
  <mergeCells count="8">
    <mergeCell ref="A41:G41"/>
    <mergeCell ref="A42:G42"/>
    <mergeCell ref="A1:G1"/>
    <mergeCell ref="A2:G2"/>
    <mergeCell ref="A3:G3"/>
    <mergeCell ref="A4:G4"/>
    <mergeCell ref="A39:G39"/>
    <mergeCell ref="A40:G40"/>
  </mergeCells>
  <pageMargins left="0.23622047244094491" right="0.23622047244094491" top="0.74803149606299213" bottom="0.74803149606299213" header="0.31496062992125984" footer="0.31496062992125984"/>
  <pageSetup scale="4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zoomScale="90" zoomScaleNormal="90" workbookViewId="0">
      <selection activeCell="B31" sqref="B31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39.28515625" style="30" bestFit="1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37" style="6" customWidth="1"/>
    <col min="8" max="8" width="11.42578125" style="84"/>
    <col min="9" max="9" width="9.5703125" style="91" customWidth="1"/>
    <col min="10" max="10" width="17.5703125" style="86" customWidth="1"/>
    <col min="11" max="11" width="34.42578125" style="87" customWidth="1"/>
    <col min="12" max="12" width="10.7109375" style="109" customWidth="1"/>
    <col min="13" max="13" width="9.7109375" style="95" customWidth="1"/>
    <col min="14" max="14" width="8" style="117" customWidth="1"/>
    <col min="15" max="15" width="33.140625" style="132" customWidth="1"/>
    <col min="16" max="16" width="11.28515625" style="3" customWidth="1"/>
    <col min="17" max="17" width="11.7109375" style="2" customWidth="1"/>
    <col min="18" max="18" width="6.85546875" style="6" customWidth="1"/>
    <col min="19" max="19" width="13.85546875" style="6" customWidth="1"/>
    <col min="20" max="20" width="11.7109375" style="6" customWidth="1"/>
    <col min="21" max="21" width="43.42578125" style="6" customWidth="1"/>
    <col min="22" max="30" width="11.7109375" style="6" customWidth="1"/>
    <col min="31" max="31" width="11.7109375" style="20" customWidth="1"/>
    <col min="32" max="33" width="11.7109375" style="6" customWidth="1"/>
    <col min="34" max="34" width="11.7109375" style="20" customWidth="1"/>
    <col min="35" max="35" width="11.7109375" style="6" customWidth="1"/>
    <col min="36" max="36" width="2.28515625" style="6" customWidth="1"/>
    <col min="37" max="37" width="15.5703125" style="6" customWidth="1"/>
    <col min="38" max="38" width="11.42578125" style="6" customWidth="1"/>
    <col min="39" max="39" width="11.42578125" style="6"/>
    <col min="40" max="40" width="11.42578125" style="6" customWidth="1"/>
    <col min="41" max="41" width="42.28515625" style="6" customWidth="1"/>
    <col min="42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153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169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ht="27" customHeight="1">
      <c r="A7" s="31">
        <v>1</v>
      </c>
      <c r="B7" s="10" t="str">
        <f>+L7</f>
        <v xml:space="preserve">PINTO GONNZALEZ L.N MARIA DE LA LUZ  </v>
      </c>
      <c r="C7" s="6" t="str">
        <f>+M7</f>
        <v>JEFE DE DEPARTAMENTO DEL REGISTRO CIVIL</v>
      </c>
      <c r="D7" s="66">
        <f>H7*4</f>
        <v>1456</v>
      </c>
      <c r="E7" s="20">
        <f>I7*4</f>
        <v>138.56</v>
      </c>
      <c r="F7" s="20">
        <f>D7-E7</f>
        <v>1317.44</v>
      </c>
      <c r="G7" s="24" t="s">
        <v>18</v>
      </c>
      <c r="H7" s="84">
        <f>364*1</f>
        <v>364</v>
      </c>
      <c r="I7" s="91">
        <f>34.64*1</f>
        <v>34.64</v>
      </c>
      <c r="J7" s="86">
        <f t="shared" ref="J7" si="0">SUM(H7-I7)</f>
        <v>329.36</v>
      </c>
      <c r="L7" s="134" t="s">
        <v>155</v>
      </c>
      <c r="M7" s="134" t="s">
        <v>26</v>
      </c>
      <c r="N7" s="135">
        <v>8714.74</v>
      </c>
      <c r="O7" s="136">
        <v>1214.74</v>
      </c>
      <c r="P7" s="25">
        <v>0</v>
      </c>
      <c r="R7" s="2"/>
      <c r="S7" s="3"/>
      <c r="AC7" s="20"/>
      <c r="AE7" s="6"/>
      <c r="AF7" s="20"/>
      <c r="AH7" s="6"/>
    </row>
    <row r="8" spans="1:35" s="3" customFormat="1" ht="27" customHeight="1">
      <c r="A8" s="31">
        <v>2</v>
      </c>
      <c r="B8" s="10" t="str">
        <f t="shared" ref="B8:C30" si="1">+L8</f>
        <v>ALMARAZ MARTINEZ MARTIN</v>
      </c>
      <c r="C8" s="6" t="str">
        <f t="shared" si="1"/>
        <v>DEPARTAMENTO DE MANTENIMIENTO VEHICULAR</v>
      </c>
      <c r="D8" s="20">
        <f>H8*2</f>
        <v>941.55200000000002</v>
      </c>
      <c r="E8" s="20">
        <f>I8*2</f>
        <v>114.88533333333334</v>
      </c>
      <c r="F8" s="20">
        <f t="shared" ref="F8:F30" si="2">D8-E8</f>
        <v>826.66666666666674</v>
      </c>
      <c r="G8" s="24"/>
      <c r="H8" s="84">
        <f t="shared" ref="H8:I30" si="3">+N8/15</f>
        <v>470.77600000000001</v>
      </c>
      <c r="I8" s="84">
        <f>+O8/15</f>
        <v>57.442666666666668</v>
      </c>
      <c r="J8" s="86">
        <f t="shared" ref="J8:J30" si="4">+H8-I8</f>
        <v>413.33333333333337</v>
      </c>
      <c r="K8" s="134"/>
      <c r="L8" s="134" t="s">
        <v>31</v>
      </c>
      <c r="M8" s="134" t="s">
        <v>32</v>
      </c>
      <c r="N8" s="97">
        <v>7061.64</v>
      </c>
      <c r="O8" s="137">
        <v>861.64</v>
      </c>
      <c r="P8" s="2">
        <v>0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20"/>
      <c r="AD8" s="6"/>
      <c r="AE8" s="6"/>
      <c r="AF8" s="20"/>
    </row>
    <row r="9" spans="1:35" s="3" customFormat="1" ht="27" customHeight="1">
      <c r="A9" s="31">
        <v>3</v>
      </c>
      <c r="B9" s="10" t="str">
        <f t="shared" si="1"/>
        <v xml:space="preserve">BARCENAS AVILA ENRIQUE </v>
      </c>
      <c r="C9" s="6" t="str">
        <f t="shared" si="1"/>
        <v xml:space="preserve">CHOFER  DE CAMION DE BASURA </v>
      </c>
      <c r="D9" s="20">
        <f>H9*2</f>
        <v>450.52000000000004</v>
      </c>
      <c r="E9" s="20">
        <f>I9*2</f>
        <v>15.72</v>
      </c>
      <c r="F9" s="20">
        <f t="shared" si="2"/>
        <v>434.8</v>
      </c>
      <c r="G9" s="24"/>
      <c r="H9" s="84">
        <f t="shared" si="3"/>
        <v>225.26000000000002</v>
      </c>
      <c r="I9" s="84">
        <f t="shared" si="3"/>
        <v>7.86</v>
      </c>
      <c r="J9" s="86">
        <f t="shared" si="4"/>
        <v>217.4</v>
      </c>
      <c r="K9" s="134"/>
      <c r="L9" s="134" t="s">
        <v>129</v>
      </c>
      <c r="M9" s="134" t="s">
        <v>130</v>
      </c>
      <c r="N9" s="134">
        <v>3378.9</v>
      </c>
      <c r="O9" s="51">
        <v>117.9</v>
      </c>
      <c r="P9" s="41">
        <v>64.94</v>
      </c>
      <c r="Q9" s="2"/>
      <c r="R9" s="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0"/>
      <c r="AG9" s="6"/>
      <c r="AH9" s="6"/>
      <c r="AI9" s="20"/>
    </row>
    <row r="10" spans="1:35" s="3" customFormat="1" ht="27" customHeight="1">
      <c r="A10" s="31">
        <v>4</v>
      </c>
      <c r="B10" s="10" t="str">
        <f t="shared" si="1"/>
        <v xml:space="preserve">CARBAJAL HERNANDEZ ROBERTO </v>
      </c>
      <c r="C10" s="6" t="str">
        <f t="shared" si="1"/>
        <v>CUADRILLA AGUA POTABLE Y ALCAN</v>
      </c>
      <c r="D10" s="20">
        <f>H10*12.76821</f>
        <v>3818.2055184000001</v>
      </c>
      <c r="E10" s="20">
        <f>I10*12.76821</f>
        <v>318.20932962000001</v>
      </c>
      <c r="F10" s="20">
        <f t="shared" si="2"/>
        <v>3499.99618878</v>
      </c>
      <c r="G10" s="24"/>
      <c r="H10" s="84">
        <f t="shared" si="3"/>
        <v>299.04000000000002</v>
      </c>
      <c r="I10" s="84">
        <f t="shared" si="3"/>
        <v>24.922000000000001</v>
      </c>
      <c r="J10" s="86">
        <f t="shared" si="4"/>
        <v>274.11799999999999</v>
      </c>
      <c r="K10" s="134"/>
      <c r="L10" s="134" t="s">
        <v>131</v>
      </c>
      <c r="M10" s="134" t="s">
        <v>57</v>
      </c>
      <c r="N10" s="134">
        <v>4485.6000000000004</v>
      </c>
      <c r="O10" s="51">
        <v>373.83</v>
      </c>
      <c r="P10" s="41">
        <v>64.94</v>
      </c>
      <c r="Q10" s="2"/>
      <c r="R10" s="2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0"/>
      <c r="AG10" s="6"/>
      <c r="AH10" s="6"/>
      <c r="AI10" s="20"/>
    </row>
    <row r="11" spans="1:35" s="3" customFormat="1" ht="27" customHeight="1">
      <c r="A11" s="31">
        <v>5</v>
      </c>
      <c r="B11" s="10" t="str">
        <f t="shared" si="1"/>
        <v xml:space="preserve">CARRILLO VILLALOBOS ISA </v>
      </c>
      <c r="C11" s="6" t="str">
        <f t="shared" si="1"/>
        <v>BASURA</v>
      </c>
      <c r="D11" s="20">
        <f t="shared" ref="D11:E16" si="5">H11*2</f>
        <v>369.74</v>
      </c>
      <c r="E11" s="20">
        <f t="shared" si="5"/>
        <v>4.1920000000000002</v>
      </c>
      <c r="F11" s="20">
        <f t="shared" si="2"/>
        <v>365.548</v>
      </c>
      <c r="G11" s="24"/>
      <c r="H11" s="84">
        <f t="shared" si="3"/>
        <v>184.87</v>
      </c>
      <c r="I11" s="84">
        <f t="shared" si="3"/>
        <v>2.0960000000000001</v>
      </c>
      <c r="J11" s="86">
        <f t="shared" si="4"/>
        <v>182.774</v>
      </c>
      <c r="K11" s="134"/>
      <c r="L11" s="134" t="s">
        <v>132</v>
      </c>
      <c r="M11" s="134" t="s">
        <v>133</v>
      </c>
      <c r="N11" s="134">
        <v>2773.05</v>
      </c>
      <c r="O11" s="51">
        <v>31.44</v>
      </c>
      <c r="P11" s="48">
        <v>184.29</v>
      </c>
      <c r="Q11" s="2"/>
      <c r="R11" s="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0"/>
      <c r="AG11" s="6"/>
      <c r="AH11" s="6"/>
      <c r="AI11" s="20"/>
    </row>
    <row r="12" spans="1:35" s="3" customFormat="1" ht="27" customHeight="1">
      <c r="A12" s="31">
        <v>6</v>
      </c>
      <c r="B12" s="10" t="str">
        <f t="shared" si="1"/>
        <v xml:space="preserve">DELGADILLO SANCHEZ ROBERTO CARLOS </v>
      </c>
      <c r="C12" s="6" t="str">
        <f t="shared" si="1"/>
        <v>BASURA</v>
      </c>
      <c r="D12" s="20">
        <f t="shared" si="5"/>
        <v>448.87533333333334</v>
      </c>
      <c r="E12" s="20">
        <f t="shared" si="5"/>
        <v>15.542666666666666</v>
      </c>
      <c r="F12" s="20">
        <f t="shared" si="2"/>
        <v>433.33266666666668</v>
      </c>
      <c r="G12" s="24"/>
      <c r="H12" s="84">
        <f t="shared" si="3"/>
        <v>224.43766666666667</v>
      </c>
      <c r="I12" s="84">
        <f t="shared" si="3"/>
        <v>7.7713333333333328</v>
      </c>
      <c r="J12" s="86">
        <f t="shared" si="4"/>
        <v>216.66633333333334</v>
      </c>
      <c r="K12" s="134"/>
      <c r="L12" s="134" t="s">
        <v>135</v>
      </c>
      <c r="M12" s="134" t="s">
        <v>133</v>
      </c>
      <c r="N12" s="134">
        <v>3366.5650000000001</v>
      </c>
      <c r="O12" s="51">
        <v>116.57</v>
      </c>
      <c r="P12" s="48"/>
      <c r="Q12" s="2"/>
      <c r="R12" s="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0"/>
      <c r="AG12" s="6"/>
      <c r="AH12" s="6"/>
      <c r="AI12" s="20"/>
    </row>
    <row r="13" spans="1:35" s="3" customFormat="1" ht="27" customHeight="1">
      <c r="A13" s="31">
        <v>7</v>
      </c>
      <c r="B13" s="10" t="str">
        <f t="shared" si="1"/>
        <v xml:space="preserve">DIAZ SALDAÑA TOBIAS </v>
      </c>
      <c r="C13" s="6" t="str">
        <f t="shared" si="1"/>
        <v>BASURA</v>
      </c>
      <c r="D13" s="20">
        <f t="shared" si="5"/>
        <v>369.74</v>
      </c>
      <c r="E13" s="20">
        <f t="shared" si="5"/>
        <v>4.1920000000000002</v>
      </c>
      <c r="F13" s="20">
        <f t="shared" si="2"/>
        <v>365.548</v>
      </c>
      <c r="G13" s="24"/>
      <c r="H13" s="84">
        <f t="shared" si="3"/>
        <v>184.87</v>
      </c>
      <c r="I13" s="84">
        <f t="shared" si="3"/>
        <v>2.0960000000000001</v>
      </c>
      <c r="J13" s="86">
        <f t="shared" si="4"/>
        <v>182.774</v>
      </c>
      <c r="K13" s="134"/>
      <c r="L13" s="134" t="s">
        <v>136</v>
      </c>
      <c r="M13" s="134" t="s">
        <v>133</v>
      </c>
      <c r="N13" s="134">
        <v>2773.05</v>
      </c>
      <c r="O13" s="51">
        <v>31.44</v>
      </c>
      <c r="P13" s="48"/>
      <c r="Q13" s="2"/>
      <c r="R13" s="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0"/>
      <c r="AG13" s="6"/>
      <c r="AH13" s="6"/>
      <c r="AI13" s="20"/>
    </row>
    <row r="14" spans="1:35" s="3" customFormat="1" ht="27" customHeight="1">
      <c r="A14" s="31">
        <v>8</v>
      </c>
      <c r="B14" s="10" t="str">
        <f t="shared" si="1"/>
        <v xml:space="preserve">GONZALEZ VAZQUEZ JORGE ARMANDO </v>
      </c>
      <c r="C14" s="6" t="str">
        <f t="shared" si="1"/>
        <v>BASURA</v>
      </c>
      <c r="D14" s="20">
        <f t="shared" si="5"/>
        <v>660.8</v>
      </c>
      <c r="E14" s="20">
        <f t="shared" si="5"/>
        <v>68.8</v>
      </c>
      <c r="F14" s="20">
        <f t="shared" si="2"/>
        <v>592</v>
      </c>
      <c r="G14" s="24"/>
      <c r="H14" s="84">
        <v>330.4</v>
      </c>
      <c r="I14" s="91">
        <v>34.4</v>
      </c>
      <c r="J14" s="86">
        <f t="shared" ref="J14:J16" si="6">SUM(H14-I14)</f>
        <v>296</v>
      </c>
      <c r="K14" s="134"/>
      <c r="L14" s="134" t="s">
        <v>156</v>
      </c>
      <c r="M14" s="134" t="s">
        <v>133</v>
      </c>
      <c r="N14" s="97">
        <v>2520</v>
      </c>
      <c r="O14" s="137">
        <v>0</v>
      </c>
      <c r="P14" s="2">
        <v>11.21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20"/>
      <c r="AD14" s="6"/>
      <c r="AE14" s="6"/>
      <c r="AF14" s="20"/>
    </row>
    <row r="15" spans="1:35" s="3" customFormat="1" ht="27" customHeight="1">
      <c r="A15" s="31">
        <v>9</v>
      </c>
      <c r="B15" s="10" t="str">
        <f t="shared" si="1"/>
        <v xml:space="preserve">GONZALEZ VAZQUEZ SALVADOR </v>
      </c>
      <c r="C15" s="6" t="str">
        <f t="shared" si="1"/>
        <v>BASURA</v>
      </c>
      <c r="D15" s="20">
        <f t="shared" si="5"/>
        <v>679.86666666666667</v>
      </c>
      <c r="E15" s="20">
        <f t="shared" si="5"/>
        <v>63.143999999999998</v>
      </c>
      <c r="F15" s="20">
        <f t="shared" si="2"/>
        <v>616.72266666666667</v>
      </c>
      <c r="G15" s="24"/>
      <c r="H15" s="84">
        <f t="shared" ref="H15:I15" si="7">+N15/15</f>
        <v>339.93333333333334</v>
      </c>
      <c r="I15" s="84">
        <f t="shared" si="7"/>
        <v>31.571999999999999</v>
      </c>
      <c r="J15" s="86">
        <f t="shared" ref="J15" si="8">+H15-I15</f>
        <v>308.36133333333333</v>
      </c>
      <c r="K15" s="134"/>
      <c r="L15" s="134" t="s">
        <v>137</v>
      </c>
      <c r="M15" s="134" t="s">
        <v>133</v>
      </c>
      <c r="N15" s="134">
        <v>5099</v>
      </c>
      <c r="O15" s="51">
        <v>473.58</v>
      </c>
      <c r="P15" s="48"/>
      <c r="Q15" s="2"/>
      <c r="R15" s="2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20"/>
      <c r="AG15" s="6"/>
      <c r="AH15" s="6"/>
      <c r="AI15" s="20"/>
    </row>
    <row r="16" spans="1:35" s="3" customFormat="1" ht="27" customHeight="1">
      <c r="A16" s="31">
        <v>10</v>
      </c>
      <c r="B16" s="10" t="str">
        <f t="shared" si="1"/>
        <v xml:space="preserve">VAZQUEZ FLORES FERNANDO </v>
      </c>
      <c r="C16" s="6" t="str">
        <f t="shared" si="1"/>
        <v>BASURA</v>
      </c>
      <c r="D16" s="20">
        <f t="shared" si="5"/>
        <v>660.8</v>
      </c>
      <c r="E16" s="20">
        <f t="shared" si="5"/>
        <v>68.8</v>
      </c>
      <c r="F16" s="20">
        <f t="shared" si="2"/>
        <v>592</v>
      </c>
      <c r="G16" s="24"/>
      <c r="H16" s="84">
        <v>330.4</v>
      </c>
      <c r="I16" s="91">
        <v>34.4</v>
      </c>
      <c r="J16" s="86">
        <f t="shared" si="6"/>
        <v>296</v>
      </c>
      <c r="K16" s="134"/>
      <c r="L16" s="134" t="s">
        <v>157</v>
      </c>
      <c r="M16" s="134" t="s">
        <v>133</v>
      </c>
      <c r="N16" s="97">
        <v>2747.85</v>
      </c>
      <c r="O16" s="137">
        <v>28.7</v>
      </c>
      <c r="P16" s="2">
        <v>0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20"/>
      <c r="AD16" s="6"/>
      <c r="AE16" s="6"/>
      <c r="AF16" s="20"/>
    </row>
    <row r="17" spans="1:32" s="3" customFormat="1" ht="27" customHeight="1">
      <c r="A17" s="31"/>
      <c r="B17" s="10"/>
      <c r="C17" s="67" t="s">
        <v>165</v>
      </c>
      <c r="D17" s="63">
        <f>SUM(D7:D16)</f>
        <v>9856.0995183999985</v>
      </c>
      <c r="E17" s="63">
        <f>SUM(E7:E16)</f>
        <v>812.04532962000008</v>
      </c>
      <c r="F17" s="63">
        <f>SUM(F7:F16)</f>
        <v>9044.0541887800009</v>
      </c>
      <c r="G17" s="24"/>
      <c r="H17" s="84"/>
      <c r="I17" s="84"/>
      <c r="J17" s="86"/>
      <c r="K17" s="134"/>
      <c r="L17" s="134"/>
      <c r="M17" s="134"/>
      <c r="N17" s="97"/>
      <c r="O17" s="137"/>
      <c r="P17" s="2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20"/>
      <c r="AD17" s="6"/>
      <c r="AE17" s="6"/>
      <c r="AF17" s="20"/>
    </row>
    <row r="18" spans="1:32" s="3" customFormat="1" ht="27" customHeight="1">
      <c r="A18" s="31"/>
      <c r="B18" s="10" t="s">
        <v>170</v>
      </c>
      <c r="C18" s="6"/>
      <c r="D18" s="20"/>
      <c r="E18" s="20"/>
      <c r="F18" s="20"/>
      <c r="G18" s="24"/>
      <c r="H18" s="84"/>
      <c r="I18" s="84"/>
      <c r="J18" s="86"/>
      <c r="K18" s="134"/>
      <c r="L18" s="134"/>
      <c r="M18" s="134"/>
      <c r="N18" s="134"/>
      <c r="O18" s="137"/>
      <c r="P18" s="2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20"/>
      <c r="AD18" s="6"/>
      <c r="AE18" s="6"/>
      <c r="AF18" s="20"/>
    </row>
    <row r="19" spans="1:32" s="3" customFormat="1" ht="27" customHeight="1">
      <c r="A19" s="31"/>
      <c r="B19" s="10" t="s">
        <v>171</v>
      </c>
      <c r="C19" s="6"/>
      <c r="D19" s="20"/>
      <c r="E19" s="20"/>
      <c r="F19" s="20"/>
      <c r="G19" s="24"/>
      <c r="H19" s="84"/>
      <c r="I19" s="84"/>
      <c r="J19" s="86"/>
      <c r="K19" s="134"/>
      <c r="L19" s="134"/>
      <c r="M19" s="134"/>
      <c r="N19" s="134"/>
      <c r="O19" s="137"/>
      <c r="P19" s="2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20"/>
      <c r="AD19" s="6"/>
      <c r="AE19" s="6"/>
      <c r="AF19" s="20"/>
    </row>
    <row r="20" spans="1:32" s="3" customFormat="1" ht="27" customHeight="1">
      <c r="A20" s="31"/>
      <c r="B20" s="10"/>
      <c r="C20" s="6"/>
      <c r="D20" s="20"/>
      <c r="E20" s="20"/>
      <c r="F20" s="20"/>
      <c r="G20" s="24"/>
      <c r="H20" s="84"/>
      <c r="I20" s="84"/>
      <c r="J20" s="86"/>
      <c r="K20" s="134"/>
      <c r="L20" s="134"/>
      <c r="M20" s="134"/>
      <c r="N20" s="134"/>
      <c r="O20" s="137"/>
      <c r="P20" s="2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20"/>
      <c r="AD20" s="6"/>
      <c r="AE20" s="6"/>
      <c r="AF20" s="20"/>
    </row>
    <row r="21" spans="1:32" s="3" customFormat="1" ht="27" customHeight="1">
      <c r="A21" s="31"/>
      <c r="B21" s="10"/>
      <c r="C21" s="6"/>
      <c r="D21" s="20"/>
      <c r="E21" s="20"/>
      <c r="F21" s="20"/>
      <c r="G21" s="24"/>
      <c r="H21" s="84"/>
      <c r="I21" s="84"/>
      <c r="J21" s="86"/>
      <c r="K21" s="134"/>
      <c r="L21" s="134"/>
      <c r="M21" s="134"/>
      <c r="N21" s="134"/>
      <c r="O21" s="137"/>
      <c r="P21" s="2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20"/>
      <c r="AD21" s="6"/>
      <c r="AE21" s="6"/>
      <c r="AF21" s="20"/>
    </row>
    <row r="22" spans="1:32" s="3" customFormat="1" ht="27" customHeight="1">
      <c r="A22" s="31"/>
      <c r="B22" s="10"/>
      <c r="C22" s="6"/>
      <c r="D22" s="20"/>
      <c r="E22" s="20"/>
      <c r="F22" s="20"/>
      <c r="G22" s="24"/>
      <c r="H22" s="84"/>
      <c r="I22" s="84"/>
      <c r="J22" s="86"/>
      <c r="K22" s="134"/>
      <c r="L22" s="134"/>
      <c r="M22" s="134"/>
      <c r="N22" s="134"/>
      <c r="O22" s="137"/>
      <c r="P22" s="2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20"/>
      <c r="AD22" s="6"/>
      <c r="AE22" s="6"/>
      <c r="AF22" s="20"/>
    </row>
    <row r="23" spans="1:32" s="3" customFormat="1" ht="27" customHeight="1">
      <c r="A23" s="31"/>
      <c r="B23" s="10"/>
      <c r="C23" s="6"/>
      <c r="D23" s="20"/>
      <c r="E23" s="20"/>
      <c r="F23" s="20"/>
      <c r="G23" s="24"/>
      <c r="H23" s="84"/>
      <c r="I23" s="84"/>
      <c r="J23" s="86"/>
      <c r="K23" s="134"/>
      <c r="L23" s="134"/>
      <c r="M23" s="134"/>
      <c r="N23" s="134"/>
      <c r="O23" s="137"/>
      <c r="P23" s="2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20"/>
      <c r="AD23" s="6"/>
      <c r="AE23" s="6"/>
      <c r="AF23" s="20"/>
    </row>
    <row r="24" spans="1:32" s="3" customFormat="1" ht="27" customHeight="1">
      <c r="A24" s="31"/>
      <c r="B24" s="10"/>
      <c r="C24" s="6"/>
      <c r="D24" s="20"/>
      <c r="E24" s="20"/>
      <c r="F24" s="20"/>
      <c r="G24" s="24"/>
      <c r="H24" s="84"/>
      <c r="I24" s="84"/>
      <c r="J24" s="86"/>
      <c r="K24" s="134"/>
      <c r="L24" s="134"/>
      <c r="M24" s="134"/>
      <c r="N24" s="134"/>
      <c r="O24" s="137"/>
      <c r="P24" s="2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20"/>
      <c r="AD24" s="6"/>
      <c r="AE24" s="6"/>
      <c r="AF24" s="20"/>
    </row>
    <row r="25" spans="1:32" s="3" customFormat="1" ht="27" customHeight="1">
      <c r="A25" s="241" t="s">
        <v>24</v>
      </c>
      <c r="B25" s="242"/>
      <c r="C25" s="242"/>
      <c r="D25" s="242"/>
      <c r="E25" s="242"/>
      <c r="F25" s="242"/>
      <c r="G25" s="243"/>
      <c r="H25" s="84"/>
      <c r="I25" s="84"/>
      <c r="J25" s="86"/>
      <c r="K25" s="134"/>
      <c r="L25" s="134"/>
      <c r="M25" s="134"/>
      <c r="N25" s="134"/>
      <c r="O25" s="137"/>
      <c r="P25" s="2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20"/>
      <c r="AD25" s="6"/>
      <c r="AE25" s="6"/>
      <c r="AF25" s="20"/>
    </row>
    <row r="26" spans="1:32" s="3" customFormat="1" ht="27" customHeight="1">
      <c r="A26" s="241" t="s">
        <v>153</v>
      </c>
      <c r="B26" s="242"/>
      <c r="C26" s="242"/>
      <c r="D26" s="242"/>
      <c r="E26" s="242"/>
      <c r="F26" s="242"/>
      <c r="G26" s="243"/>
      <c r="H26" s="84"/>
      <c r="I26" s="84"/>
      <c r="J26" s="86"/>
      <c r="K26" s="134"/>
      <c r="L26" s="134"/>
      <c r="M26" s="134"/>
      <c r="N26" s="134"/>
      <c r="O26" s="137"/>
      <c r="P26" s="2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20"/>
      <c r="AD26" s="6"/>
      <c r="AE26" s="6"/>
      <c r="AF26" s="20"/>
    </row>
    <row r="27" spans="1:32" s="3" customFormat="1" ht="27" customHeight="1">
      <c r="A27" s="241" t="str">
        <f>+A3</f>
        <v xml:space="preserve">AYUNTAMIENTO Y QUE  CORRESPONDEN A LA SEGUNDA QUINCENA DE ABRIL DE 2019 </v>
      </c>
      <c r="B27" s="242"/>
      <c r="C27" s="242"/>
      <c r="D27" s="242"/>
      <c r="E27" s="242"/>
      <c r="F27" s="242"/>
      <c r="G27" s="243"/>
      <c r="H27" s="84"/>
      <c r="I27" s="84"/>
      <c r="J27" s="86"/>
      <c r="K27" s="134"/>
      <c r="L27" s="134"/>
      <c r="M27" s="134"/>
      <c r="N27" s="134"/>
      <c r="O27" s="137"/>
      <c r="P27" s="2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20"/>
      <c r="AD27" s="6"/>
      <c r="AE27" s="6"/>
      <c r="AF27" s="20"/>
    </row>
    <row r="28" spans="1:32" s="3" customFormat="1" ht="27" customHeight="1">
      <c r="A28" s="241" t="s">
        <v>27</v>
      </c>
      <c r="B28" s="242"/>
      <c r="C28" s="242"/>
      <c r="D28" s="242"/>
      <c r="E28" s="242"/>
      <c r="F28" s="242"/>
      <c r="G28" s="243"/>
      <c r="H28" s="84"/>
      <c r="I28" s="84"/>
      <c r="J28" s="86"/>
      <c r="K28" s="134"/>
      <c r="L28" s="134"/>
      <c r="M28" s="134"/>
      <c r="N28" s="134"/>
      <c r="O28" s="137"/>
      <c r="P28" s="2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20"/>
      <c r="AD28" s="6"/>
      <c r="AE28" s="6"/>
      <c r="AF28" s="20"/>
    </row>
    <row r="29" spans="1:32" s="3" customFormat="1" ht="27" customHeight="1">
      <c r="A29" s="31">
        <v>1</v>
      </c>
      <c r="B29" s="10"/>
      <c r="C29" s="6" t="str">
        <f t="shared" si="1"/>
        <v>POLICIA DE LINEA</v>
      </c>
      <c r="D29" s="20">
        <f t="shared" ref="D29:E29" si="9">H29</f>
        <v>391.47533333333337</v>
      </c>
      <c r="E29" s="20">
        <f t="shared" si="9"/>
        <v>40.808666666666667</v>
      </c>
      <c r="F29" s="20">
        <f t="shared" si="2"/>
        <v>350.66666666666669</v>
      </c>
      <c r="G29" s="24"/>
      <c r="H29" s="84">
        <f t="shared" si="3"/>
        <v>391.47533333333337</v>
      </c>
      <c r="I29" s="84">
        <f t="shared" si="3"/>
        <v>40.808666666666667</v>
      </c>
      <c r="J29" s="86">
        <f t="shared" si="4"/>
        <v>350.66666666666669</v>
      </c>
      <c r="K29" s="134"/>
      <c r="L29" s="134" t="s">
        <v>162</v>
      </c>
      <c r="M29" s="134" t="s">
        <v>90</v>
      </c>
      <c r="N29" s="134">
        <v>5872.13</v>
      </c>
      <c r="O29" s="137">
        <v>612.13</v>
      </c>
      <c r="P29" s="2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20"/>
      <c r="AD29" s="6"/>
      <c r="AE29" s="6"/>
      <c r="AF29" s="20"/>
    </row>
    <row r="30" spans="1:32" s="3" customFormat="1" ht="27" customHeight="1">
      <c r="A30" s="31">
        <v>2</v>
      </c>
      <c r="B30" s="10"/>
      <c r="C30" s="6" t="str">
        <f t="shared" si="1"/>
        <v>POLICIA DE LINEA</v>
      </c>
      <c r="D30" s="20">
        <f>H30*1</f>
        <v>391.47533333333337</v>
      </c>
      <c r="E30" s="20">
        <f>I30</f>
        <v>40.808666666666667</v>
      </c>
      <c r="F30" s="20">
        <f t="shared" si="2"/>
        <v>350.66666666666669</v>
      </c>
      <c r="G30" s="24"/>
      <c r="H30" s="84">
        <f t="shared" si="3"/>
        <v>391.47533333333337</v>
      </c>
      <c r="I30" s="84">
        <f t="shared" si="3"/>
        <v>40.808666666666667</v>
      </c>
      <c r="J30" s="86">
        <f t="shared" si="4"/>
        <v>350.66666666666669</v>
      </c>
      <c r="K30" s="134"/>
      <c r="L30" s="134" t="s">
        <v>164</v>
      </c>
      <c r="M30" s="134" t="s">
        <v>90</v>
      </c>
      <c r="N30" s="97">
        <v>5872.13</v>
      </c>
      <c r="O30" s="137">
        <v>612.13</v>
      </c>
      <c r="P30" s="2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20"/>
      <c r="AD30" s="6"/>
      <c r="AE30" s="6"/>
      <c r="AF30" s="20"/>
    </row>
    <row r="31" spans="1:32" s="3" customFormat="1" ht="27" customHeight="1">
      <c r="A31" s="31"/>
      <c r="B31" s="10"/>
      <c r="C31" s="67" t="s">
        <v>165</v>
      </c>
      <c r="D31" s="63">
        <f>SUM(D29:D30)</f>
        <v>782.95066666666673</v>
      </c>
      <c r="E31" s="63">
        <f>SUM(E29:E30)</f>
        <v>81.617333333333335</v>
      </c>
      <c r="F31" s="63">
        <f>SUM(F29:F30)</f>
        <v>701.33333333333337</v>
      </c>
      <c r="G31" s="24"/>
      <c r="H31" s="84"/>
      <c r="I31" s="84"/>
      <c r="J31" s="86"/>
      <c r="K31" s="134"/>
      <c r="L31" s="134"/>
      <c r="M31" s="134"/>
      <c r="N31" s="97"/>
      <c r="O31" s="137"/>
      <c r="P31" s="2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20"/>
      <c r="AD31" s="6"/>
      <c r="AE31" s="6"/>
      <c r="AF31" s="20"/>
    </row>
    <row r="32" spans="1:32" s="3" customFormat="1" ht="27" customHeight="1">
      <c r="A32" s="31"/>
      <c r="B32" s="10"/>
      <c r="C32" s="6"/>
      <c r="D32" s="20"/>
      <c r="E32" s="20"/>
      <c r="F32" s="20"/>
      <c r="G32" s="24"/>
      <c r="H32" s="84"/>
      <c r="I32" s="84"/>
      <c r="J32" s="86"/>
      <c r="K32" s="134"/>
      <c r="L32" s="134"/>
      <c r="M32" s="134"/>
      <c r="N32" s="97"/>
      <c r="O32" s="137"/>
      <c r="P32" s="2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20"/>
      <c r="AD32" s="6"/>
      <c r="AE32" s="6"/>
      <c r="AF32" s="20"/>
    </row>
    <row r="33" spans="1:34" s="3" customFormat="1" ht="27" customHeight="1">
      <c r="A33" s="31"/>
      <c r="B33" s="10" t="s">
        <v>104</v>
      </c>
      <c r="C33" s="6"/>
      <c r="D33" s="20"/>
      <c r="E33" s="20"/>
      <c r="F33" s="20"/>
      <c r="G33" s="24"/>
      <c r="H33" s="84"/>
      <c r="I33" s="84"/>
      <c r="J33" s="86"/>
      <c r="K33" s="134"/>
      <c r="L33" s="134"/>
      <c r="M33" s="134"/>
      <c r="N33" s="134"/>
      <c r="O33" s="137"/>
      <c r="P33" s="41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20"/>
      <c r="AE33" s="6"/>
      <c r="AF33" s="6"/>
      <c r="AG33" s="20"/>
    </row>
    <row r="34" spans="1:34" s="3" customFormat="1" ht="27" customHeight="1">
      <c r="A34" s="31"/>
      <c r="B34" s="10" t="s">
        <v>171</v>
      </c>
      <c r="C34" s="6"/>
      <c r="D34" s="20"/>
      <c r="E34" s="20"/>
      <c r="F34" s="20"/>
      <c r="G34" s="24"/>
      <c r="H34" s="84"/>
      <c r="I34" s="84"/>
      <c r="J34" s="86"/>
      <c r="K34" s="134"/>
      <c r="L34" s="134"/>
      <c r="M34" s="134"/>
      <c r="N34" s="134"/>
      <c r="O34" s="137"/>
      <c r="P34" s="41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20"/>
      <c r="AE34" s="6"/>
      <c r="AF34" s="6"/>
      <c r="AG34" s="20"/>
    </row>
    <row r="35" spans="1:34" s="3" customFormat="1" ht="27" customHeight="1">
      <c r="A35" s="31"/>
      <c r="B35" s="10"/>
      <c r="C35" s="6"/>
      <c r="D35" s="20"/>
      <c r="E35" s="20"/>
      <c r="F35" s="20"/>
      <c r="G35" s="24"/>
      <c r="H35" s="84"/>
      <c r="I35" s="84"/>
      <c r="J35" s="86"/>
      <c r="K35" s="134"/>
      <c r="L35" s="134"/>
      <c r="M35" s="134"/>
      <c r="N35" s="134"/>
      <c r="O35" s="137"/>
      <c r="P35" s="5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20"/>
      <c r="AE35" s="6"/>
      <c r="AF35" s="6"/>
      <c r="AG35" s="20"/>
    </row>
    <row r="36" spans="1:34" s="3" customFormat="1" ht="27" customHeight="1">
      <c r="A36" s="31"/>
      <c r="B36" s="10"/>
      <c r="C36" s="6"/>
      <c r="D36" s="20"/>
      <c r="E36" s="20"/>
      <c r="F36" s="20"/>
      <c r="G36" s="24"/>
      <c r="H36" s="84"/>
      <c r="I36" s="84"/>
      <c r="J36" s="86"/>
      <c r="K36" s="134"/>
      <c r="L36" s="134"/>
      <c r="M36" s="134"/>
      <c r="N36" s="134"/>
      <c r="O36" s="137"/>
      <c r="P36" s="41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20"/>
      <c r="AE36" s="6"/>
      <c r="AF36" s="6"/>
      <c r="AG36" s="20"/>
    </row>
    <row r="37" spans="1:34" s="3" customFormat="1" ht="27" customHeight="1">
      <c r="A37" s="31"/>
      <c r="B37" s="10"/>
      <c r="C37" s="6"/>
      <c r="D37" s="20"/>
      <c r="E37" s="20"/>
      <c r="F37" s="20"/>
      <c r="G37" s="24"/>
      <c r="H37" s="84"/>
      <c r="I37" s="84"/>
      <c r="J37" s="86"/>
      <c r="K37" s="134"/>
      <c r="L37" s="134"/>
      <c r="M37" s="134"/>
      <c r="N37" s="134"/>
      <c r="O37" s="41"/>
      <c r="P37" s="51"/>
      <c r="Q37" s="2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20"/>
      <c r="AF37" s="6"/>
      <c r="AG37" s="6"/>
      <c r="AH37" s="20"/>
    </row>
    <row r="38" spans="1:34" s="3" customFormat="1" ht="27" customHeight="1">
      <c r="A38" s="9"/>
      <c r="B38" s="10"/>
      <c r="C38" s="26"/>
      <c r="D38" s="4"/>
      <c r="E38" s="4"/>
      <c r="F38" s="4"/>
      <c r="G38" s="24"/>
      <c r="H38" s="84"/>
      <c r="I38" s="91"/>
      <c r="J38" s="86"/>
      <c r="K38" s="87"/>
      <c r="L38" s="110"/>
      <c r="M38" s="118"/>
      <c r="N38" s="118"/>
      <c r="O38" s="132"/>
      <c r="P38" s="4"/>
      <c r="Q38" s="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20"/>
      <c r="AF38" s="6"/>
      <c r="AG38" s="6"/>
      <c r="AH38" s="20"/>
    </row>
    <row r="39" spans="1:34" s="3" customFormat="1" ht="27" customHeight="1">
      <c r="A39" s="9"/>
      <c r="B39" s="10"/>
      <c r="C39" s="26"/>
      <c r="D39" s="32">
        <f>SUM(D7:D38)</f>
        <v>21278.100370133328</v>
      </c>
      <c r="E39" s="32">
        <f>SUM(E7:E38)</f>
        <v>1787.3253259066666</v>
      </c>
      <c r="F39" s="32">
        <f>SUM(F7:F38)</f>
        <v>19490.77504422667</v>
      </c>
      <c r="G39" s="24"/>
      <c r="H39" s="84"/>
      <c r="I39" s="91"/>
      <c r="J39" s="86"/>
      <c r="K39" s="87"/>
      <c r="L39" s="110"/>
      <c r="M39" s="118"/>
      <c r="N39" s="118"/>
      <c r="O39" s="132"/>
      <c r="P39" s="4"/>
      <c r="Q39" s="2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20"/>
      <c r="AF39" s="6"/>
      <c r="AG39" s="6"/>
      <c r="AH39" s="20"/>
    </row>
    <row r="40" spans="1:34" s="3" customFormat="1" ht="27" customHeight="1">
      <c r="A40" s="9"/>
      <c r="C40" s="30"/>
      <c r="D40" s="4"/>
      <c r="E40" s="4"/>
      <c r="F40" s="4"/>
      <c r="G40" s="24" t="s">
        <v>18</v>
      </c>
      <c r="H40" s="84"/>
      <c r="I40" s="91"/>
      <c r="J40" s="86">
        <f>SUM(H40-I40)</f>
        <v>0</v>
      </c>
      <c r="K40" s="87"/>
      <c r="L40" s="110"/>
      <c r="M40" s="118"/>
      <c r="N40" s="120"/>
      <c r="O40" s="132"/>
      <c r="Q40" s="2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20"/>
      <c r="AF40" s="6"/>
      <c r="AG40" s="6"/>
      <c r="AH40" s="20"/>
    </row>
    <row r="41" spans="1:34" s="3" customFormat="1" ht="27" customHeight="1">
      <c r="A41" s="9"/>
      <c r="C41" s="26"/>
      <c r="D41" s="4"/>
      <c r="E41" s="4"/>
      <c r="F41" s="4"/>
      <c r="G41" s="24" t="s">
        <v>18</v>
      </c>
      <c r="H41" s="84"/>
      <c r="I41" s="91"/>
      <c r="J41" s="86">
        <f>SUM(H41-I41)</f>
        <v>0</v>
      </c>
      <c r="K41" s="87"/>
      <c r="L41" s="109"/>
      <c r="M41" s="95"/>
      <c r="N41" s="117"/>
      <c r="O41" s="132"/>
      <c r="Q41" s="2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20"/>
      <c r="AF41" s="6"/>
      <c r="AG41" s="6"/>
      <c r="AH41" s="20"/>
    </row>
    <row r="42" spans="1:34" s="3" customFormat="1" ht="27" customHeight="1">
      <c r="A42" s="9"/>
      <c r="B42" s="10"/>
      <c r="C42" s="26"/>
      <c r="D42" s="28"/>
      <c r="E42" s="28"/>
      <c r="F42" s="21"/>
      <c r="G42" s="24" t="s">
        <v>18</v>
      </c>
      <c r="H42" s="91"/>
      <c r="I42" s="91"/>
      <c r="J42" s="86"/>
      <c r="K42" s="98"/>
      <c r="L42" s="98"/>
      <c r="M42" s="95"/>
      <c r="N42" s="117"/>
      <c r="O42" s="132"/>
      <c r="Q42" s="2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20"/>
      <c r="AF42" s="6"/>
      <c r="AG42" s="6"/>
      <c r="AH42" s="20"/>
    </row>
    <row r="50" spans="3:6" ht="27" customHeight="1">
      <c r="D50" s="20"/>
      <c r="E50" s="20"/>
      <c r="F50" s="20"/>
    </row>
    <row r="51" spans="3:6" ht="27" customHeight="1">
      <c r="D51" s="20"/>
      <c r="E51" s="20"/>
      <c r="F51" s="20"/>
    </row>
    <row r="52" spans="3:6" ht="27" customHeight="1">
      <c r="D52" s="20"/>
      <c r="E52" s="20"/>
      <c r="F52" s="20"/>
    </row>
    <row r="53" spans="3:6" ht="27" customHeight="1">
      <c r="D53" s="20"/>
      <c r="E53" s="20"/>
      <c r="F53" s="20"/>
    </row>
    <row r="54" spans="3:6" ht="27" customHeight="1">
      <c r="C54" s="62"/>
      <c r="D54" s="63"/>
      <c r="E54" s="63"/>
      <c r="F54" s="63"/>
    </row>
  </sheetData>
  <mergeCells count="8">
    <mergeCell ref="A27:G27"/>
    <mergeCell ref="A28:G28"/>
    <mergeCell ref="A1:G1"/>
    <mergeCell ref="A2:G2"/>
    <mergeCell ref="A3:G3"/>
    <mergeCell ref="A4:G4"/>
    <mergeCell ref="A25:G25"/>
    <mergeCell ref="A26:G26"/>
  </mergeCells>
  <pageMargins left="0.23622047244094491" right="0.23622047244094491" top="0.74803149606299213" bottom="0.74803149606299213" header="0.31496062992125984" footer="0.31496062992125984"/>
  <pageSetup scale="63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1"/>
  <sheetViews>
    <sheetView zoomScale="90" zoomScaleNormal="90" workbookViewId="0">
      <selection activeCell="C9" sqref="C9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39.28515625" style="30" bestFit="1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37" style="6" customWidth="1"/>
    <col min="8" max="8" width="11.42578125" style="84"/>
    <col min="9" max="9" width="9.5703125" style="91" customWidth="1"/>
    <col min="10" max="10" width="17.5703125" style="86" customWidth="1"/>
    <col min="11" max="11" width="34.42578125" style="87" customWidth="1"/>
    <col min="12" max="12" width="10.7109375" style="109" customWidth="1"/>
    <col min="13" max="13" width="9.7109375" style="95" customWidth="1"/>
    <col min="14" max="14" width="8" style="117" customWidth="1"/>
    <col min="15" max="15" width="33.140625" style="132" customWidth="1"/>
    <col min="16" max="16" width="11.28515625" style="3" customWidth="1"/>
    <col min="17" max="17" width="11.7109375" style="2" customWidth="1"/>
    <col min="18" max="18" width="6.85546875" style="6" customWidth="1"/>
    <col min="19" max="19" width="13.85546875" style="6" customWidth="1"/>
    <col min="20" max="20" width="11.7109375" style="6" customWidth="1"/>
    <col min="21" max="21" width="43.42578125" style="6" customWidth="1"/>
    <col min="22" max="30" width="11.7109375" style="6" customWidth="1"/>
    <col min="31" max="31" width="11.7109375" style="20" customWidth="1"/>
    <col min="32" max="33" width="11.7109375" style="6" customWidth="1"/>
    <col min="34" max="34" width="11.7109375" style="20" customWidth="1"/>
    <col min="35" max="35" width="11.7109375" style="6" customWidth="1"/>
    <col min="36" max="36" width="2.28515625" style="6" customWidth="1"/>
    <col min="37" max="37" width="15.5703125" style="6" customWidth="1"/>
    <col min="38" max="38" width="11.42578125" style="6" customWidth="1"/>
    <col min="39" max="39" width="11.42578125" style="6"/>
    <col min="40" max="40" width="11.42578125" style="6" customWidth="1"/>
    <col min="41" max="41" width="42.28515625" style="6" customWidth="1"/>
    <col min="42" max="16384" width="11.42578125" style="6"/>
  </cols>
  <sheetData>
    <row r="1" spans="1:34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4" s="175" customFormat="1" ht="27" customHeight="1">
      <c r="A2" s="247" t="s">
        <v>153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4" s="175" customFormat="1" ht="27" customHeight="1">
      <c r="A3" s="235" t="s">
        <v>154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4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4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4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4" ht="27" customHeight="1">
      <c r="A7" s="31">
        <v>1</v>
      </c>
      <c r="B7" s="10" t="str">
        <f>+L7</f>
        <v xml:space="preserve">PINTO GONNZALEZ L.N MARIA DE LA LUZ  </v>
      </c>
      <c r="C7" s="6" t="str">
        <f>+M7</f>
        <v>JEFE DE DEPARTAMENTO DEL REGISTRO CIVIL</v>
      </c>
      <c r="D7" s="66">
        <f>H7</f>
        <v>364</v>
      </c>
      <c r="E7" s="20">
        <f>I7</f>
        <v>34.64</v>
      </c>
      <c r="F7" s="20">
        <f t="shared" ref="F7:F27" si="0">D7-E7</f>
        <v>329.36</v>
      </c>
      <c r="G7" s="24" t="s">
        <v>18</v>
      </c>
      <c r="H7" s="84">
        <f>364*1</f>
        <v>364</v>
      </c>
      <c r="I7" s="91">
        <f>34.64*1</f>
        <v>34.64</v>
      </c>
      <c r="J7" s="86">
        <f t="shared" ref="J7" si="1">SUM(H7-I7)</f>
        <v>329.36</v>
      </c>
      <c r="L7" s="134" t="s">
        <v>155</v>
      </c>
      <c r="M7" s="134" t="s">
        <v>26</v>
      </c>
      <c r="N7" s="135">
        <v>8714.74</v>
      </c>
      <c r="O7" s="136">
        <v>1214.74</v>
      </c>
      <c r="P7" s="25">
        <v>0</v>
      </c>
      <c r="R7" s="2"/>
      <c r="S7" s="3"/>
      <c r="AC7" s="20"/>
      <c r="AE7" s="6"/>
      <c r="AF7" s="20"/>
      <c r="AH7" s="6"/>
    </row>
    <row r="8" spans="1:34" s="3" customFormat="1" ht="27" customHeight="1">
      <c r="A8" s="31">
        <v>2</v>
      </c>
      <c r="B8" s="10" t="str">
        <f t="shared" ref="B8:B27" si="2">+L8</f>
        <v xml:space="preserve">RENTERIA CAMACHO ALEJANDRA  </v>
      </c>
      <c r="C8" s="6" t="str">
        <f t="shared" ref="C8:C27" si="3">+M8</f>
        <v>OFICIAL REGISTRO CIVIL TREJOS</v>
      </c>
      <c r="D8" s="20">
        <f>H8*2</f>
        <v>728</v>
      </c>
      <c r="E8" s="20">
        <f>I8*2</f>
        <v>69.28</v>
      </c>
      <c r="F8" s="20">
        <f t="shared" si="0"/>
        <v>658.72</v>
      </c>
      <c r="G8" s="24"/>
      <c r="H8" s="84">
        <f>364*1</f>
        <v>364</v>
      </c>
      <c r="I8" s="91">
        <f>34.64*1</f>
        <v>34.64</v>
      </c>
      <c r="J8" s="86">
        <f t="shared" ref="J8" si="4">SUM(H8-I8)</f>
        <v>329.36</v>
      </c>
      <c r="K8" s="87"/>
      <c r="L8" s="134" t="s">
        <v>54</v>
      </c>
      <c r="M8" s="134" t="s">
        <v>55</v>
      </c>
      <c r="N8" s="134">
        <v>2430.13</v>
      </c>
      <c r="O8" s="137">
        <v>0</v>
      </c>
      <c r="P8" s="2">
        <v>19.87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20"/>
      <c r="AD8" s="6"/>
      <c r="AE8" s="6"/>
      <c r="AF8" s="20"/>
    </row>
    <row r="9" spans="1:34" s="3" customFormat="1" ht="27" customHeight="1">
      <c r="A9" s="31">
        <v>3</v>
      </c>
      <c r="B9" s="10" t="str">
        <f t="shared" si="2"/>
        <v>ALMARAZ MARTINEZ MARTIN</v>
      </c>
      <c r="C9" s="6" t="str">
        <f t="shared" si="3"/>
        <v>DEPARTAMENTO DE MANTENIMIENTO VEHICULAR</v>
      </c>
      <c r="D9" s="20">
        <f t="shared" ref="D9:E26" si="5">H9</f>
        <v>470.77600000000001</v>
      </c>
      <c r="E9" s="20">
        <f t="shared" si="5"/>
        <v>57.442666666666668</v>
      </c>
      <c r="F9" s="20">
        <f t="shared" si="0"/>
        <v>413.33333333333337</v>
      </c>
      <c r="G9" s="24"/>
      <c r="H9" s="84">
        <f t="shared" ref="H9:H27" si="6">+N9/15</f>
        <v>470.77600000000001</v>
      </c>
      <c r="I9" s="84">
        <f>+O9/15</f>
        <v>57.442666666666668</v>
      </c>
      <c r="J9" s="86">
        <f t="shared" ref="J9:J27" si="7">+H9-I9</f>
        <v>413.33333333333337</v>
      </c>
      <c r="K9" s="134"/>
      <c r="L9" s="134" t="s">
        <v>31</v>
      </c>
      <c r="M9" s="134" t="s">
        <v>32</v>
      </c>
      <c r="N9" s="97">
        <v>7061.64</v>
      </c>
      <c r="O9" s="137">
        <v>861.64</v>
      </c>
      <c r="P9" s="2">
        <v>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20"/>
      <c r="AD9" s="6"/>
      <c r="AE9" s="6"/>
      <c r="AF9" s="20"/>
    </row>
    <row r="10" spans="1:34" s="3" customFormat="1" ht="27" customHeight="1">
      <c r="A10" s="31">
        <v>4</v>
      </c>
      <c r="B10" s="10" t="str">
        <f t="shared" si="2"/>
        <v xml:space="preserve">GONZALEZ VAZQUEZ JORGE ARMANDO </v>
      </c>
      <c r="C10" s="6" t="str">
        <f t="shared" si="3"/>
        <v>BASURA</v>
      </c>
      <c r="D10" s="20">
        <f>H10</f>
        <v>330.4</v>
      </c>
      <c r="E10" s="20">
        <f>I10</f>
        <v>34.4</v>
      </c>
      <c r="F10" s="20">
        <f t="shared" si="0"/>
        <v>296</v>
      </c>
      <c r="G10" s="24"/>
      <c r="H10" s="84">
        <v>330.4</v>
      </c>
      <c r="I10" s="91">
        <v>34.4</v>
      </c>
      <c r="J10" s="86">
        <f t="shared" ref="J10:J11" si="8">SUM(H10-I10)</f>
        <v>296</v>
      </c>
      <c r="K10" s="134"/>
      <c r="L10" s="134" t="s">
        <v>156</v>
      </c>
      <c r="M10" s="134" t="s">
        <v>133</v>
      </c>
      <c r="N10" s="97">
        <v>2520</v>
      </c>
      <c r="O10" s="137">
        <v>0</v>
      </c>
      <c r="P10" s="2">
        <v>11.21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20"/>
      <c r="AD10" s="6"/>
      <c r="AE10" s="6"/>
      <c r="AF10" s="20"/>
    </row>
    <row r="11" spans="1:34" s="3" customFormat="1" ht="27" customHeight="1">
      <c r="A11" s="31">
        <v>5</v>
      </c>
      <c r="B11" s="10" t="str">
        <f t="shared" si="2"/>
        <v xml:space="preserve">VAZQUEZ FLORES FERNANDO </v>
      </c>
      <c r="C11" s="6" t="str">
        <f t="shared" si="3"/>
        <v>BASURA</v>
      </c>
      <c r="D11" s="20">
        <f t="shared" si="5"/>
        <v>330.4</v>
      </c>
      <c r="E11" s="20">
        <f t="shared" si="5"/>
        <v>34.4</v>
      </c>
      <c r="F11" s="20">
        <f t="shared" si="0"/>
        <v>296</v>
      </c>
      <c r="G11" s="24"/>
      <c r="H11" s="84">
        <v>330.4</v>
      </c>
      <c r="I11" s="91">
        <v>34.4</v>
      </c>
      <c r="J11" s="86">
        <f t="shared" si="8"/>
        <v>296</v>
      </c>
      <c r="K11" s="134"/>
      <c r="L11" s="134" t="s">
        <v>157</v>
      </c>
      <c r="M11" s="134" t="s">
        <v>133</v>
      </c>
      <c r="N11" s="97">
        <v>2747.85</v>
      </c>
      <c r="O11" s="137">
        <v>28.7</v>
      </c>
      <c r="P11" s="2">
        <v>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20"/>
      <c r="AD11" s="6"/>
      <c r="AE11" s="6"/>
      <c r="AF11" s="20"/>
    </row>
    <row r="12" spans="1:34" s="3" customFormat="1" ht="27" customHeight="1">
      <c r="A12" s="31"/>
      <c r="B12" s="10"/>
      <c r="C12" s="67" t="s">
        <v>165</v>
      </c>
      <c r="D12" s="63">
        <f>SUM(D7:D11)</f>
        <v>2223.576</v>
      </c>
      <c r="E12" s="63">
        <f t="shared" ref="E12:F12" si="9">SUM(E7:E11)</f>
        <v>230.16266666666667</v>
      </c>
      <c r="F12" s="63">
        <f t="shared" si="9"/>
        <v>1993.4133333333334</v>
      </c>
      <c r="G12" s="24"/>
      <c r="H12" s="84"/>
      <c r="I12" s="84"/>
      <c r="J12" s="86"/>
      <c r="K12" s="134"/>
      <c r="L12" s="134"/>
      <c r="M12" s="134"/>
      <c r="N12" s="97"/>
      <c r="O12" s="137"/>
      <c r="P12" s="2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20"/>
      <c r="AD12" s="6"/>
      <c r="AE12" s="6"/>
      <c r="AF12" s="20"/>
    </row>
    <row r="13" spans="1:34" s="3" customFormat="1" ht="27" customHeight="1">
      <c r="A13" s="31"/>
      <c r="B13" s="10" t="s">
        <v>166</v>
      </c>
      <c r="C13" s="6"/>
      <c r="D13" s="20"/>
      <c r="E13" s="20"/>
      <c r="F13" s="20"/>
      <c r="G13" s="24"/>
      <c r="H13" s="84"/>
      <c r="I13" s="84"/>
      <c r="J13" s="86"/>
      <c r="K13" s="134"/>
      <c r="L13" s="134"/>
      <c r="M13" s="134"/>
      <c r="N13" s="134"/>
      <c r="O13" s="137"/>
      <c r="P13" s="2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20"/>
      <c r="AD13" s="6"/>
      <c r="AE13" s="6"/>
      <c r="AF13" s="20"/>
    </row>
    <row r="14" spans="1:34" s="3" customFormat="1" ht="27" customHeight="1">
      <c r="A14" s="31"/>
      <c r="B14" s="10" t="s">
        <v>167</v>
      </c>
      <c r="C14" s="6"/>
      <c r="D14" s="20"/>
      <c r="E14" s="20"/>
      <c r="F14" s="20"/>
      <c r="G14" s="24"/>
      <c r="H14" s="84"/>
      <c r="I14" s="84"/>
      <c r="J14" s="86"/>
      <c r="K14" s="134"/>
      <c r="L14" s="134"/>
      <c r="M14" s="134"/>
      <c r="N14" s="134"/>
      <c r="O14" s="137"/>
      <c r="P14" s="2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20"/>
      <c r="AD14" s="6"/>
      <c r="AE14" s="6"/>
      <c r="AF14" s="20"/>
    </row>
    <row r="15" spans="1:34" s="3" customFormat="1" ht="27" customHeight="1">
      <c r="A15" s="31"/>
      <c r="B15" s="10"/>
      <c r="C15" s="6"/>
      <c r="D15" s="20"/>
      <c r="E15" s="20"/>
      <c r="F15" s="20"/>
      <c r="G15" s="24"/>
      <c r="H15" s="84"/>
      <c r="I15" s="84"/>
      <c r="J15" s="86"/>
      <c r="K15" s="134"/>
      <c r="L15" s="134"/>
      <c r="M15" s="134"/>
      <c r="N15" s="134"/>
      <c r="O15" s="137"/>
      <c r="P15" s="2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20"/>
      <c r="AD15" s="6"/>
      <c r="AE15" s="6"/>
      <c r="AF15" s="20"/>
    </row>
    <row r="16" spans="1:34" s="3" customFormat="1" ht="27" customHeight="1">
      <c r="A16" s="31"/>
      <c r="B16" s="10"/>
      <c r="C16" s="6"/>
      <c r="D16" s="20"/>
      <c r="E16" s="20"/>
      <c r="F16" s="20"/>
      <c r="G16" s="24"/>
      <c r="H16" s="84"/>
      <c r="I16" s="84"/>
      <c r="J16" s="86"/>
      <c r="K16" s="134"/>
      <c r="L16" s="134"/>
      <c r="M16" s="134"/>
      <c r="N16" s="134"/>
      <c r="O16" s="137"/>
      <c r="P16" s="2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20"/>
      <c r="AD16" s="6"/>
      <c r="AE16" s="6"/>
      <c r="AF16" s="20"/>
    </row>
    <row r="17" spans="1:33" s="3" customFormat="1" ht="27" customHeight="1">
      <c r="A17" s="31"/>
      <c r="B17" s="10"/>
      <c r="C17" s="6"/>
      <c r="D17" s="20"/>
      <c r="E17" s="20"/>
      <c r="F17" s="20"/>
      <c r="G17" s="24"/>
      <c r="H17" s="84"/>
      <c r="I17" s="84"/>
      <c r="J17" s="86"/>
      <c r="K17" s="134"/>
      <c r="L17" s="134"/>
      <c r="M17" s="134"/>
      <c r="N17" s="134"/>
      <c r="O17" s="137"/>
      <c r="P17" s="2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20"/>
      <c r="AD17" s="6"/>
      <c r="AE17" s="6"/>
      <c r="AF17" s="20"/>
    </row>
    <row r="18" spans="1:33" s="3" customFormat="1" ht="27" customHeight="1">
      <c r="A18" s="31"/>
      <c r="B18" s="10"/>
      <c r="C18" s="6"/>
      <c r="D18" s="20"/>
      <c r="E18" s="20"/>
      <c r="F18" s="20"/>
      <c r="G18" s="24"/>
      <c r="H18" s="84"/>
      <c r="I18" s="84"/>
      <c r="J18" s="86"/>
      <c r="K18" s="134"/>
      <c r="L18" s="134"/>
      <c r="M18" s="134"/>
      <c r="N18" s="134"/>
      <c r="O18" s="137"/>
      <c r="P18" s="2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20"/>
      <c r="AD18" s="6"/>
      <c r="AE18" s="6"/>
      <c r="AF18" s="20"/>
    </row>
    <row r="19" spans="1:33" s="3" customFormat="1" ht="27" customHeight="1">
      <c r="A19" s="31"/>
      <c r="B19" s="10"/>
      <c r="C19" s="6"/>
      <c r="D19" s="20"/>
      <c r="E19" s="20"/>
      <c r="F19" s="20"/>
      <c r="G19" s="24"/>
      <c r="H19" s="84"/>
      <c r="I19" s="84"/>
      <c r="J19" s="86"/>
      <c r="K19" s="134"/>
      <c r="L19" s="134"/>
      <c r="M19" s="134"/>
      <c r="N19" s="134"/>
      <c r="O19" s="137"/>
      <c r="P19" s="2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20"/>
      <c r="AD19" s="6"/>
      <c r="AE19" s="6"/>
      <c r="AF19" s="20"/>
    </row>
    <row r="20" spans="1:33" s="3" customFormat="1" ht="27" customHeight="1">
      <c r="A20" s="241" t="s">
        <v>24</v>
      </c>
      <c r="B20" s="242"/>
      <c r="C20" s="242"/>
      <c r="D20" s="242"/>
      <c r="E20" s="242"/>
      <c r="F20" s="242"/>
      <c r="G20" s="243"/>
      <c r="H20" s="84"/>
      <c r="I20" s="84"/>
      <c r="J20" s="86"/>
      <c r="K20" s="134"/>
      <c r="L20" s="134"/>
      <c r="M20" s="134"/>
      <c r="N20" s="134"/>
      <c r="O20" s="137"/>
      <c r="P20" s="2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20"/>
      <c r="AD20" s="6"/>
      <c r="AE20" s="6"/>
      <c r="AF20" s="20"/>
    </row>
    <row r="21" spans="1:33" s="3" customFormat="1" ht="27" customHeight="1">
      <c r="A21" s="241" t="s">
        <v>153</v>
      </c>
      <c r="B21" s="242"/>
      <c r="C21" s="242"/>
      <c r="D21" s="242"/>
      <c r="E21" s="242"/>
      <c r="F21" s="242"/>
      <c r="G21" s="243"/>
      <c r="H21" s="84"/>
      <c r="I21" s="84"/>
      <c r="J21" s="86"/>
      <c r="K21" s="134"/>
      <c r="L21" s="134"/>
      <c r="M21" s="134"/>
      <c r="N21" s="134"/>
      <c r="O21" s="137"/>
      <c r="P21" s="2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20"/>
      <c r="AD21" s="6"/>
      <c r="AE21" s="6"/>
      <c r="AF21" s="20"/>
    </row>
    <row r="22" spans="1:33" s="3" customFormat="1" ht="27" customHeight="1">
      <c r="A22" s="241" t="s">
        <v>154</v>
      </c>
      <c r="B22" s="242"/>
      <c r="C22" s="242"/>
      <c r="D22" s="242"/>
      <c r="E22" s="242"/>
      <c r="F22" s="242"/>
      <c r="G22" s="243"/>
      <c r="H22" s="84"/>
      <c r="I22" s="84"/>
      <c r="J22" s="86"/>
      <c r="K22" s="134"/>
      <c r="L22" s="134"/>
      <c r="M22" s="134"/>
      <c r="N22" s="134"/>
      <c r="O22" s="137"/>
      <c r="P22" s="2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20"/>
      <c r="AD22" s="6"/>
      <c r="AE22" s="6"/>
      <c r="AF22" s="20"/>
    </row>
    <row r="23" spans="1:33" s="3" customFormat="1" ht="27" customHeight="1">
      <c r="A23" s="241" t="s">
        <v>27</v>
      </c>
      <c r="B23" s="242"/>
      <c r="C23" s="242"/>
      <c r="D23" s="242"/>
      <c r="E23" s="242"/>
      <c r="F23" s="242"/>
      <c r="G23" s="243"/>
      <c r="H23" s="84"/>
      <c r="I23" s="84"/>
      <c r="J23" s="86"/>
      <c r="K23" s="134"/>
      <c r="L23" s="134"/>
      <c r="M23" s="134"/>
      <c r="N23" s="134"/>
      <c r="O23" s="137"/>
      <c r="P23" s="2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20"/>
      <c r="AD23" s="6"/>
      <c r="AE23" s="6"/>
      <c r="AF23" s="20"/>
    </row>
    <row r="24" spans="1:33" s="3" customFormat="1" ht="27" customHeight="1">
      <c r="A24" s="31">
        <v>1</v>
      </c>
      <c r="B24" s="10"/>
      <c r="C24" s="6" t="str">
        <f t="shared" si="3"/>
        <v>POLICIA DE LINEA</v>
      </c>
      <c r="D24" s="20">
        <f t="shared" si="5"/>
        <v>391.47533333333337</v>
      </c>
      <c r="E24" s="20">
        <f t="shared" si="5"/>
        <v>40.808666666666667</v>
      </c>
      <c r="F24" s="20">
        <f t="shared" si="0"/>
        <v>350.66666666666669</v>
      </c>
      <c r="G24" s="24"/>
      <c r="H24" s="84">
        <f t="shared" si="6"/>
        <v>391.47533333333337</v>
      </c>
      <c r="I24" s="84">
        <f t="shared" ref="I24:I27" si="10">+O24/15</f>
        <v>40.808666666666667</v>
      </c>
      <c r="J24" s="86">
        <f t="shared" si="7"/>
        <v>350.66666666666669</v>
      </c>
      <c r="K24" s="134"/>
      <c r="L24" s="134" t="s">
        <v>159</v>
      </c>
      <c r="M24" s="134" t="s">
        <v>90</v>
      </c>
      <c r="N24" s="134">
        <v>5872.13</v>
      </c>
      <c r="O24" s="137">
        <v>612.13</v>
      </c>
      <c r="P24" s="2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20"/>
      <c r="AD24" s="6"/>
      <c r="AE24" s="6"/>
      <c r="AF24" s="20"/>
    </row>
    <row r="25" spans="1:33" s="3" customFormat="1" ht="27" customHeight="1">
      <c r="A25" s="31">
        <v>2</v>
      </c>
      <c r="B25" s="10"/>
      <c r="C25" s="6" t="str">
        <f t="shared" si="3"/>
        <v>POLICIA DE LINEA</v>
      </c>
      <c r="D25" s="20">
        <f t="shared" si="5"/>
        <v>391.47533333333337</v>
      </c>
      <c r="E25" s="20">
        <f t="shared" si="5"/>
        <v>40.808666666666667</v>
      </c>
      <c r="F25" s="20">
        <f t="shared" si="0"/>
        <v>350.66666666666669</v>
      </c>
      <c r="G25" s="24"/>
      <c r="H25" s="84">
        <f t="shared" si="6"/>
        <v>391.47533333333337</v>
      </c>
      <c r="I25" s="84">
        <f t="shared" si="10"/>
        <v>40.808666666666667</v>
      </c>
      <c r="J25" s="86">
        <f t="shared" si="7"/>
        <v>350.66666666666669</v>
      </c>
      <c r="K25" s="134"/>
      <c r="L25" s="134" t="s">
        <v>160</v>
      </c>
      <c r="M25" s="134" t="s">
        <v>90</v>
      </c>
      <c r="N25" s="134">
        <v>5872.13</v>
      </c>
      <c r="O25" s="137">
        <v>612.13</v>
      </c>
      <c r="P25" s="2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20"/>
      <c r="AD25" s="6"/>
      <c r="AE25" s="6"/>
      <c r="AF25" s="20"/>
    </row>
    <row r="26" spans="1:33" s="3" customFormat="1" ht="27" customHeight="1">
      <c r="A26" s="31">
        <v>3</v>
      </c>
      <c r="B26" s="10"/>
      <c r="C26" s="6" t="str">
        <f t="shared" si="3"/>
        <v>POLICIA DE LINEA</v>
      </c>
      <c r="D26" s="20">
        <f t="shared" si="5"/>
        <v>391.47533333333337</v>
      </c>
      <c r="E26" s="20">
        <f t="shared" si="5"/>
        <v>40.808666666666667</v>
      </c>
      <c r="F26" s="20">
        <f t="shared" si="0"/>
        <v>350.66666666666669</v>
      </c>
      <c r="G26" s="24"/>
      <c r="H26" s="84">
        <f t="shared" si="6"/>
        <v>391.47533333333337</v>
      </c>
      <c r="I26" s="84">
        <f t="shared" si="10"/>
        <v>40.808666666666667</v>
      </c>
      <c r="J26" s="86">
        <f t="shared" si="7"/>
        <v>350.66666666666669</v>
      </c>
      <c r="K26" s="134"/>
      <c r="L26" s="134" t="s">
        <v>162</v>
      </c>
      <c r="M26" s="134" t="s">
        <v>90</v>
      </c>
      <c r="N26" s="134">
        <v>5872.13</v>
      </c>
      <c r="O26" s="137">
        <v>612.13</v>
      </c>
      <c r="P26" s="2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20"/>
      <c r="AD26" s="6"/>
      <c r="AE26" s="6"/>
      <c r="AF26" s="20"/>
    </row>
    <row r="27" spans="1:33" s="3" customFormat="1" ht="27" customHeight="1">
      <c r="A27" s="31">
        <v>4</v>
      </c>
      <c r="B27" s="10"/>
      <c r="C27" s="6" t="str">
        <f t="shared" si="3"/>
        <v>POLICIA DE LINEA</v>
      </c>
      <c r="D27" s="20">
        <f>H27*1</f>
        <v>391.47533333333337</v>
      </c>
      <c r="E27" s="20">
        <f>I27</f>
        <v>40.808666666666667</v>
      </c>
      <c r="F27" s="20">
        <f t="shared" si="0"/>
        <v>350.66666666666669</v>
      </c>
      <c r="G27" s="24"/>
      <c r="H27" s="84">
        <f t="shared" si="6"/>
        <v>391.47533333333337</v>
      </c>
      <c r="I27" s="84">
        <f t="shared" si="10"/>
        <v>40.808666666666667</v>
      </c>
      <c r="J27" s="86">
        <f t="shared" si="7"/>
        <v>350.66666666666669</v>
      </c>
      <c r="K27" s="134"/>
      <c r="L27" s="134" t="s">
        <v>164</v>
      </c>
      <c r="M27" s="134" t="s">
        <v>90</v>
      </c>
      <c r="N27" s="97">
        <v>5872.13</v>
      </c>
      <c r="O27" s="137">
        <v>612.13</v>
      </c>
      <c r="P27" s="2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20"/>
      <c r="AD27" s="6"/>
      <c r="AE27" s="6"/>
      <c r="AF27" s="20"/>
    </row>
    <row r="28" spans="1:33" s="3" customFormat="1" ht="27" customHeight="1">
      <c r="A28" s="31"/>
      <c r="B28" s="10"/>
      <c r="C28" s="67" t="s">
        <v>165</v>
      </c>
      <c r="D28" s="63">
        <f>SUM(D24:D27)</f>
        <v>1565.9013333333335</v>
      </c>
      <c r="E28" s="63">
        <f t="shared" ref="E28:F28" si="11">SUM(E24:E27)</f>
        <v>163.23466666666667</v>
      </c>
      <c r="F28" s="63">
        <f t="shared" si="11"/>
        <v>1402.6666666666667</v>
      </c>
      <c r="G28" s="24"/>
      <c r="H28" s="84"/>
      <c r="I28" s="84"/>
      <c r="J28" s="86"/>
      <c r="K28" s="134"/>
      <c r="L28" s="134"/>
      <c r="M28" s="134"/>
      <c r="N28" s="97"/>
      <c r="O28" s="137"/>
      <c r="P28" s="2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20"/>
      <c r="AD28" s="6"/>
      <c r="AE28" s="6"/>
      <c r="AF28" s="20"/>
    </row>
    <row r="29" spans="1:33" s="3" customFormat="1" ht="27" customHeight="1">
      <c r="A29" s="31"/>
      <c r="B29" s="10"/>
      <c r="C29" s="6"/>
      <c r="D29" s="20"/>
      <c r="E29" s="20"/>
      <c r="F29" s="20"/>
      <c r="G29" s="24"/>
      <c r="H29" s="84"/>
      <c r="I29" s="84"/>
      <c r="J29" s="86"/>
      <c r="K29" s="134"/>
      <c r="L29" s="134"/>
      <c r="M29" s="134"/>
      <c r="N29" s="97"/>
      <c r="O29" s="137"/>
      <c r="P29" s="2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20"/>
      <c r="AD29" s="6"/>
      <c r="AE29" s="6"/>
      <c r="AF29" s="20"/>
    </row>
    <row r="30" spans="1:33" s="3" customFormat="1" ht="27" customHeight="1">
      <c r="A30" s="31"/>
      <c r="B30" s="10" t="s">
        <v>168</v>
      </c>
      <c r="C30" s="6"/>
      <c r="D30" s="20"/>
      <c r="E30" s="20"/>
      <c r="F30" s="20"/>
      <c r="G30" s="24"/>
      <c r="H30" s="84"/>
      <c r="I30" s="84"/>
      <c r="J30" s="86"/>
      <c r="K30" s="134"/>
      <c r="L30" s="134"/>
      <c r="M30" s="134"/>
      <c r="N30" s="134"/>
      <c r="O30" s="137"/>
      <c r="P30" s="41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20"/>
      <c r="AE30" s="6"/>
      <c r="AF30" s="6"/>
      <c r="AG30" s="20"/>
    </row>
    <row r="31" spans="1:33" s="3" customFormat="1" ht="27" customHeight="1">
      <c r="A31" s="31"/>
      <c r="B31" s="10" t="s">
        <v>167</v>
      </c>
      <c r="C31" s="6"/>
      <c r="D31" s="20"/>
      <c r="E31" s="20"/>
      <c r="F31" s="20"/>
      <c r="G31" s="24"/>
      <c r="H31" s="84"/>
      <c r="I31" s="84"/>
      <c r="J31" s="86"/>
      <c r="K31" s="134"/>
      <c r="L31" s="134"/>
      <c r="M31" s="134"/>
      <c r="N31" s="134"/>
      <c r="O31" s="137"/>
      <c r="P31" s="41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20"/>
      <c r="AE31" s="6"/>
      <c r="AF31" s="6"/>
      <c r="AG31" s="20"/>
    </row>
    <row r="32" spans="1:33" s="3" customFormat="1" ht="27" customHeight="1">
      <c r="A32" s="31"/>
      <c r="B32" s="10"/>
      <c r="C32" s="6"/>
      <c r="D32" s="20"/>
      <c r="E32" s="20"/>
      <c r="F32" s="20"/>
      <c r="G32" s="24"/>
      <c r="H32" s="84"/>
      <c r="I32" s="84"/>
      <c r="J32" s="86"/>
      <c r="K32" s="134"/>
      <c r="L32" s="134"/>
      <c r="M32" s="134"/>
      <c r="N32" s="134"/>
      <c r="O32" s="137"/>
      <c r="P32" s="5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20"/>
      <c r="AE32" s="6"/>
      <c r="AF32" s="6"/>
      <c r="AG32" s="20"/>
    </row>
    <row r="33" spans="1:34" s="3" customFormat="1" ht="27" customHeight="1">
      <c r="A33" s="31"/>
      <c r="B33" s="10"/>
      <c r="C33" s="6"/>
      <c r="D33" s="20"/>
      <c r="E33" s="20"/>
      <c r="F33" s="20"/>
      <c r="G33" s="24"/>
      <c r="H33" s="84"/>
      <c r="I33" s="84"/>
      <c r="J33" s="86"/>
      <c r="K33" s="134"/>
      <c r="L33" s="134"/>
      <c r="M33" s="134"/>
      <c r="N33" s="134"/>
      <c r="O33" s="137"/>
      <c r="P33" s="41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20"/>
      <c r="AE33" s="6"/>
      <c r="AF33" s="6"/>
      <c r="AG33" s="20"/>
    </row>
    <row r="34" spans="1:34" s="3" customFormat="1" ht="27" customHeight="1">
      <c r="A34" s="31"/>
      <c r="B34" s="10"/>
      <c r="C34" s="6"/>
      <c r="D34" s="20"/>
      <c r="E34" s="20"/>
      <c r="F34" s="20"/>
      <c r="G34" s="24"/>
      <c r="H34" s="84"/>
      <c r="I34" s="84"/>
      <c r="J34" s="86"/>
      <c r="K34" s="134"/>
      <c r="L34" s="134"/>
      <c r="M34" s="134"/>
      <c r="N34" s="134"/>
      <c r="O34" s="41"/>
      <c r="P34" s="51"/>
      <c r="Q34" s="2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20"/>
      <c r="AF34" s="6"/>
      <c r="AG34" s="6"/>
      <c r="AH34" s="20"/>
    </row>
    <row r="35" spans="1:34" s="3" customFormat="1" ht="27" customHeight="1">
      <c r="A35" s="9"/>
      <c r="B35" s="10"/>
      <c r="C35" s="26"/>
      <c r="D35" s="4"/>
      <c r="E35" s="4"/>
      <c r="F35" s="4"/>
      <c r="G35" s="24"/>
      <c r="H35" s="84"/>
      <c r="I35" s="91"/>
      <c r="J35" s="86"/>
      <c r="K35" s="87"/>
      <c r="L35" s="110"/>
      <c r="M35" s="118"/>
      <c r="N35" s="118"/>
      <c r="O35" s="132"/>
      <c r="P35" s="4"/>
      <c r="Q35" s="2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20"/>
      <c r="AF35" s="6"/>
      <c r="AG35" s="6"/>
      <c r="AH35" s="20"/>
    </row>
    <row r="36" spans="1:34" s="3" customFormat="1" ht="27" customHeight="1">
      <c r="A36" s="9"/>
      <c r="B36" s="10"/>
      <c r="C36" s="26"/>
      <c r="D36" s="32">
        <f>SUM(D7:D35)</f>
        <v>7578.9546666666683</v>
      </c>
      <c r="E36" s="32">
        <f>SUM(E7:E35)</f>
        <v>786.79466666666667</v>
      </c>
      <c r="F36" s="32">
        <f>SUM(F7:F35)</f>
        <v>6792.1600000000017</v>
      </c>
      <c r="G36" s="24"/>
      <c r="H36" s="84"/>
      <c r="I36" s="91"/>
      <c r="J36" s="86"/>
      <c r="K36" s="87"/>
      <c r="L36" s="110"/>
      <c r="M36" s="118"/>
      <c r="N36" s="118"/>
      <c r="O36" s="132"/>
      <c r="P36" s="4"/>
      <c r="Q36" s="2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20"/>
      <c r="AF36" s="6"/>
      <c r="AG36" s="6"/>
      <c r="AH36" s="20"/>
    </row>
    <row r="37" spans="1:34" s="3" customFormat="1" ht="27" customHeight="1">
      <c r="A37" s="9"/>
      <c r="C37" s="30"/>
      <c r="D37" s="4"/>
      <c r="E37" s="4"/>
      <c r="F37" s="4"/>
      <c r="G37" s="24" t="s">
        <v>18</v>
      </c>
      <c r="H37" s="84"/>
      <c r="I37" s="91"/>
      <c r="J37" s="86">
        <f>SUM(H37-I37)</f>
        <v>0</v>
      </c>
      <c r="K37" s="87"/>
      <c r="L37" s="110"/>
      <c r="M37" s="118"/>
      <c r="N37" s="120"/>
      <c r="O37" s="132"/>
      <c r="Q37" s="2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20"/>
      <c r="AF37" s="6"/>
      <c r="AG37" s="6"/>
      <c r="AH37" s="20"/>
    </row>
    <row r="38" spans="1:34" s="3" customFormat="1" ht="27" customHeight="1">
      <c r="A38" s="9"/>
      <c r="C38" s="26"/>
      <c r="D38" s="4"/>
      <c r="E38" s="4"/>
      <c r="F38" s="4"/>
      <c r="G38" s="24" t="s">
        <v>18</v>
      </c>
      <c r="H38" s="84"/>
      <c r="I38" s="91"/>
      <c r="J38" s="86">
        <f>SUM(H38-I38)</f>
        <v>0</v>
      </c>
      <c r="K38" s="87"/>
      <c r="L38" s="109"/>
      <c r="M38" s="95"/>
      <c r="N38" s="117"/>
      <c r="O38" s="132"/>
      <c r="Q38" s="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20"/>
      <c r="AF38" s="6"/>
      <c r="AG38" s="6"/>
      <c r="AH38" s="20"/>
    </row>
    <row r="39" spans="1:34" s="3" customFormat="1" ht="27" customHeight="1">
      <c r="A39" s="9"/>
      <c r="B39" s="10"/>
      <c r="C39" s="26"/>
      <c r="D39" s="28"/>
      <c r="E39" s="28"/>
      <c r="F39" s="21"/>
      <c r="G39" s="24" t="s">
        <v>18</v>
      </c>
      <c r="H39" s="91"/>
      <c r="I39" s="91"/>
      <c r="J39" s="86"/>
      <c r="K39" s="98"/>
      <c r="L39" s="98"/>
      <c r="M39" s="95"/>
      <c r="N39" s="117"/>
      <c r="O39" s="132"/>
      <c r="Q39" s="2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20"/>
      <c r="AF39" s="6"/>
      <c r="AG39" s="6"/>
      <c r="AH39" s="20"/>
    </row>
    <row r="47" spans="1:34" ht="27" customHeight="1">
      <c r="D47" s="20"/>
      <c r="E47" s="20"/>
      <c r="F47" s="20"/>
    </row>
    <row r="48" spans="1:34" ht="27" customHeight="1">
      <c r="D48" s="20"/>
      <c r="E48" s="20"/>
      <c r="F48" s="20"/>
    </row>
    <row r="49" spans="3:6" ht="27" customHeight="1">
      <c r="D49" s="20"/>
      <c r="E49" s="20"/>
      <c r="F49" s="20"/>
    </row>
    <row r="50" spans="3:6" ht="27" customHeight="1">
      <c r="D50" s="20"/>
      <c r="E50" s="20"/>
      <c r="F50" s="20"/>
    </row>
    <row r="51" spans="3:6" ht="27" customHeight="1">
      <c r="C51" s="62"/>
      <c r="D51" s="63"/>
      <c r="E51" s="63"/>
      <c r="F51" s="63"/>
    </row>
  </sheetData>
  <mergeCells count="8">
    <mergeCell ref="A21:G21"/>
    <mergeCell ref="A22:G22"/>
    <mergeCell ref="A23:G23"/>
    <mergeCell ref="A20:G20"/>
    <mergeCell ref="A1:G1"/>
    <mergeCell ref="A2:G2"/>
    <mergeCell ref="A3:G3"/>
    <mergeCell ref="A4:G4"/>
  </mergeCells>
  <pageMargins left="0.23622047244094491" right="0.23622047244094491" top="0.74803149606299213" bottom="0.74803149606299213" header="0.31496062992125984" footer="0.31496062992125984"/>
  <pageSetup scale="68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5"/>
  <sheetViews>
    <sheetView zoomScale="90" zoomScaleNormal="90" workbookViewId="0">
      <selection activeCell="E5" sqref="E5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30.28515625" style="30" bestFit="1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37" style="6" customWidth="1"/>
    <col min="8" max="8" width="11.42578125" style="84"/>
    <col min="9" max="9" width="9.5703125" style="91" customWidth="1"/>
    <col min="10" max="10" width="17.5703125" style="86" customWidth="1"/>
    <col min="11" max="11" width="34.42578125" style="87" customWidth="1"/>
    <col min="12" max="12" width="10.7109375" style="109" customWidth="1"/>
    <col min="13" max="13" width="9.7109375" style="95" customWidth="1"/>
    <col min="14" max="14" width="8" style="117" customWidth="1"/>
    <col min="15" max="15" width="11.28515625" style="131" customWidth="1"/>
    <col min="16" max="16" width="33.140625" style="132" customWidth="1"/>
    <col min="17" max="18" width="11.7109375" style="2" customWidth="1"/>
    <col min="19" max="19" width="6.85546875" style="6" customWidth="1"/>
    <col min="20" max="20" width="13.85546875" style="6" customWidth="1"/>
    <col min="21" max="21" width="11.7109375" style="6" customWidth="1"/>
    <col min="22" max="22" width="43.42578125" style="6" customWidth="1"/>
    <col min="23" max="31" width="11.7109375" style="6" customWidth="1"/>
    <col min="32" max="32" width="11.7109375" style="20" customWidth="1"/>
    <col min="33" max="34" width="11.7109375" style="6" customWidth="1"/>
    <col min="35" max="35" width="11.7109375" style="20" customWidth="1"/>
    <col min="36" max="36" width="11.7109375" style="6" customWidth="1"/>
    <col min="37" max="37" width="2.28515625" style="6" customWidth="1"/>
    <col min="38" max="38" width="15.5703125" style="6" customWidth="1"/>
    <col min="39" max="39" width="11.42578125" style="6" customWidth="1"/>
    <col min="40" max="40" width="11.42578125" style="6"/>
    <col min="41" max="41" width="11.42578125" style="6" customWidth="1"/>
    <col min="42" max="42" width="42.28515625" style="6" customWidth="1"/>
    <col min="43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153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150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ht="27" customHeight="1">
      <c r="A7" s="31">
        <v>1</v>
      </c>
      <c r="B7" s="10" t="str">
        <f>+L7</f>
        <v xml:space="preserve">BUGARIN VELIZ JESUS EMANUEL </v>
      </c>
      <c r="C7" s="6" t="str">
        <f>+M7</f>
        <v>CAJERO</v>
      </c>
      <c r="D7" s="20">
        <f>H7*1.25</f>
        <v>231.8725</v>
      </c>
      <c r="E7" s="20">
        <f>I7*1.25</f>
        <v>2.7058333333333335</v>
      </c>
      <c r="F7" s="20">
        <f t="shared" ref="F7:F28" si="0">D7-E7</f>
        <v>229.16666666666666</v>
      </c>
      <c r="G7" s="24" t="s">
        <v>18</v>
      </c>
      <c r="H7" s="84">
        <f>+N7/15</f>
        <v>185.49799999999999</v>
      </c>
      <c r="I7" s="84">
        <f>+O7/15</f>
        <v>2.1646666666666667</v>
      </c>
      <c r="J7" s="86">
        <f>+H7-I7</f>
        <v>183.33333333333331</v>
      </c>
      <c r="K7" s="134"/>
      <c r="L7" s="134" t="s">
        <v>46</v>
      </c>
      <c r="M7" s="134" t="s">
        <v>47</v>
      </c>
      <c r="N7" s="134">
        <v>2782.47</v>
      </c>
      <c r="O7" s="134">
        <v>32.47</v>
      </c>
      <c r="P7" s="133"/>
      <c r="Q7" s="25"/>
      <c r="R7" s="25"/>
      <c r="S7" s="19"/>
      <c r="T7" s="2"/>
      <c r="U7" s="2"/>
      <c r="V7" s="3"/>
    </row>
    <row r="8" spans="1:35" s="3" customFormat="1" ht="27" customHeight="1">
      <c r="A8" s="31">
        <v>2</v>
      </c>
      <c r="B8" s="10" t="str">
        <f t="shared" ref="B8:B28" si="1">+L8</f>
        <v xml:space="preserve">GARCIA ALONSO ELENA DE LA CRUZ </v>
      </c>
      <c r="C8" s="6" t="str">
        <f t="shared" ref="C8:C28" si="2">+M8</f>
        <v>RECEPCION SECRETARIA C</v>
      </c>
      <c r="D8" s="20">
        <f>H8*0.62</f>
        <v>115.00876</v>
      </c>
      <c r="E8" s="20">
        <f>I8*0.62</f>
        <v>1.3420933333333334</v>
      </c>
      <c r="F8" s="20">
        <f t="shared" si="0"/>
        <v>113.66666666666666</v>
      </c>
      <c r="G8" s="24"/>
      <c r="H8" s="84">
        <f t="shared" ref="H8:H28" si="3">+N8/15</f>
        <v>185.49799999999999</v>
      </c>
      <c r="I8" s="84">
        <f t="shared" ref="I8:I28" si="4">+O8/15</f>
        <v>2.1646666666666667</v>
      </c>
      <c r="J8" s="86">
        <f t="shared" ref="J8:J28" si="5">+H8-I8</f>
        <v>183.33333333333331</v>
      </c>
      <c r="K8" s="134"/>
      <c r="L8" s="134" t="s">
        <v>42</v>
      </c>
      <c r="M8" s="134" t="s">
        <v>126</v>
      </c>
      <c r="N8" s="134">
        <v>2782.47</v>
      </c>
      <c r="O8" s="134">
        <v>32.47</v>
      </c>
      <c r="P8" s="48">
        <v>334.48</v>
      </c>
      <c r="Q8" s="2"/>
      <c r="R8" s="2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6"/>
      <c r="AH8" s="6"/>
      <c r="AI8" s="20"/>
    </row>
    <row r="9" spans="1:35" s="3" customFormat="1" ht="27" customHeight="1">
      <c r="A9" s="31">
        <v>3</v>
      </c>
      <c r="B9" s="10" t="str">
        <f t="shared" si="1"/>
        <v xml:space="preserve">ABUNDIS MUÑOZ ALFREDO </v>
      </c>
      <c r="C9" s="6" t="str">
        <f t="shared" si="2"/>
        <v>CUADRILLA AGUA POTABLE Y ALCAN</v>
      </c>
      <c r="D9" s="20">
        <f t="shared" ref="D9:D26" si="6">H9</f>
        <v>470.77600000000001</v>
      </c>
      <c r="E9" s="20">
        <f t="shared" ref="E9:E26" si="7">I9</f>
        <v>57.442666666666668</v>
      </c>
      <c r="F9" s="20">
        <f t="shared" si="0"/>
        <v>413.33333333333337</v>
      </c>
      <c r="G9" s="24"/>
      <c r="H9" s="84">
        <f t="shared" si="3"/>
        <v>470.77600000000001</v>
      </c>
      <c r="I9" s="84">
        <f t="shared" si="4"/>
        <v>57.442666666666668</v>
      </c>
      <c r="J9" s="86">
        <f t="shared" si="5"/>
        <v>413.33333333333337</v>
      </c>
      <c r="K9" s="134"/>
      <c r="L9" s="134" t="s">
        <v>56</v>
      </c>
      <c r="M9" s="134" t="s">
        <v>57</v>
      </c>
      <c r="N9" s="134">
        <v>7061.64</v>
      </c>
      <c r="O9" s="134">
        <v>861.64</v>
      </c>
      <c r="P9" s="41">
        <v>705.1</v>
      </c>
      <c r="Q9" s="2"/>
      <c r="R9" s="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0"/>
      <c r="AG9" s="6"/>
      <c r="AH9" s="6"/>
      <c r="AI9" s="20"/>
    </row>
    <row r="10" spans="1:35" s="3" customFormat="1" ht="27" customHeight="1">
      <c r="A10" s="31">
        <v>4</v>
      </c>
      <c r="B10" s="10" t="str">
        <f t="shared" si="1"/>
        <v xml:space="preserve">ALVAREZ DEL CASTILLO SANCHEZ JORGE ENRIQUE </v>
      </c>
      <c r="C10" s="6" t="str">
        <f t="shared" si="2"/>
        <v>CHOFER DE CAMION ESCOLAR</v>
      </c>
      <c r="D10" s="20">
        <f>H10*3.67805</f>
        <v>1090.100459</v>
      </c>
      <c r="E10" s="20">
        <f>I10*3.67805</f>
        <v>90.099964833333331</v>
      </c>
      <c r="F10" s="20">
        <f t="shared" si="0"/>
        <v>1000.0004941666666</v>
      </c>
      <c r="G10" s="24"/>
      <c r="H10" s="84">
        <f t="shared" si="3"/>
        <v>296.38</v>
      </c>
      <c r="I10" s="84">
        <f t="shared" si="4"/>
        <v>24.496666666666666</v>
      </c>
      <c r="J10" s="86">
        <f t="shared" si="5"/>
        <v>271.88333333333333</v>
      </c>
      <c r="K10" s="134"/>
      <c r="L10" s="134" t="s">
        <v>127</v>
      </c>
      <c r="M10" s="134" t="s">
        <v>128</v>
      </c>
      <c r="N10" s="134">
        <v>4445.7</v>
      </c>
      <c r="O10" s="134">
        <v>367.45</v>
      </c>
      <c r="P10" s="41">
        <v>705.1</v>
      </c>
      <c r="Q10" s="2"/>
      <c r="R10" s="2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0"/>
      <c r="AG10" s="6"/>
      <c r="AH10" s="6"/>
      <c r="AI10" s="20"/>
    </row>
    <row r="11" spans="1:35" s="3" customFormat="1" ht="27" customHeight="1">
      <c r="A11" s="31">
        <v>5</v>
      </c>
      <c r="B11" s="10" t="str">
        <f t="shared" si="1"/>
        <v xml:space="preserve">BARCENAS AVILA ENRIQUE </v>
      </c>
      <c r="C11" s="6" t="str">
        <f t="shared" si="2"/>
        <v xml:space="preserve">CHOFER  DE CAMION DE BASURA </v>
      </c>
      <c r="D11" s="20">
        <f t="shared" si="6"/>
        <v>225.26000000000002</v>
      </c>
      <c r="E11" s="20">
        <f t="shared" si="7"/>
        <v>7.86</v>
      </c>
      <c r="F11" s="20">
        <f t="shared" si="0"/>
        <v>217.4</v>
      </c>
      <c r="G11" s="24"/>
      <c r="H11" s="84">
        <f t="shared" si="3"/>
        <v>225.26000000000002</v>
      </c>
      <c r="I11" s="84">
        <f t="shared" si="4"/>
        <v>7.86</v>
      </c>
      <c r="J11" s="86">
        <f t="shared" si="5"/>
        <v>217.4</v>
      </c>
      <c r="K11" s="134"/>
      <c r="L11" s="134" t="s">
        <v>129</v>
      </c>
      <c r="M11" s="134" t="s">
        <v>130</v>
      </c>
      <c r="N11" s="134">
        <v>3378.9</v>
      </c>
      <c r="O11" s="134">
        <v>117.9</v>
      </c>
      <c r="P11" s="41">
        <v>64.94</v>
      </c>
      <c r="Q11" s="2"/>
      <c r="R11" s="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0"/>
      <c r="AG11" s="6"/>
      <c r="AH11" s="6"/>
      <c r="AI11" s="20"/>
    </row>
    <row r="12" spans="1:35" s="3" customFormat="1" ht="27" customHeight="1">
      <c r="A12" s="31">
        <v>6</v>
      </c>
      <c r="B12" s="10" t="str">
        <f t="shared" si="1"/>
        <v xml:space="preserve">CARBAJAL HERNANDEZ ROBERTO </v>
      </c>
      <c r="C12" s="6" t="str">
        <f t="shared" si="2"/>
        <v>CUADRILLA AGUA POTABLE Y ALCAN</v>
      </c>
      <c r="D12" s="20">
        <f>H12*12.76821</f>
        <v>3818.2055184000001</v>
      </c>
      <c r="E12" s="20">
        <f>I12*12.76821</f>
        <v>318.20932962000001</v>
      </c>
      <c r="F12" s="20">
        <f t="shared" si="0"/>
        <v>3499.99618878</v>
      </c>
      <c r="G12" s="24"/>
      <c r="H12" s="84">
        <f t="shared" si="3"/>
        <v>299.04000000000002</v>
      </c>
      <c r="I12" s="84">
        <f t="shared" si="4"/>
        <v>24.922000000000001</v>
      </c>
      <c r="J12" s="86">
        <f t="shared" si="5"/>
        <v>274.11799999999999</v>
      </c>
      <c r="K12" s="134"/>
      <c r="L12" s="134" t="s">
        <v>131</v>
      </c>
      <c r="M12" s="134" t="s">
        <v>57</v>
      </c>
      <c r="N12" s="134">
        <v>4485.6000000000004</v>
      </c>
      <c r="O12" s="134">
        <v>373.83</v>
      </c>
      <c r="P12" s="41">
        <v>64.94</v>
      </c>
      <c r="Q12" s="2"/>
      <c r="R12" s="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0"/>
      <c r="AG12" s="6"/>
      <c r="AH12" s="6"/>
      <c r="AI12" s="20"/>
    </row>
    <row r="13" spans="1:35" s="3" customFormat="1" ht="27" customHeight="1">
      <c r="A13" s="31">
        <v>7</v>
      </c>
      <c r="B13" s="10" t="str">
        <f t="shared" si="1"/>
        <v xml:space="preserve">CARRILLO VILLALOBOS ISA </v>
      </c>
      <c r="C13" s="6" t="str">
        <f t="shared" si="2"/>
        <v>BASURA</v>
      </c>
      <c r="D13" s="20">
        <f t="shared" si="6"/>
        <v>184.87</v>
      </c>
      <c r="E13" s="20">
        <f t="shared" si="7"/>
        <v>2.0960000000000001</v>
      </c>
      <c r="F13" s="20">
        <f t="shared" si="0"/>
        <v>182.774</v>
      </c>
      <c r="G13" s="24"/>
      <c r="H13" s="84">
        <f t="shared" si="3"/>
        <v>184.87</v>
      </c>
      <c r="I13" s="84">
        <f t="shared" si="4"/>
        <v>2.0960000000000001</v>
      </c>
      <c r="J13" s="86">
        <f t="shared" si="5"/>
        <v>182.774</v>
      </c>
      <c r="K13" s="134"/>
      <c r="L13" s="134" t="s">
        <v>132</v>
      </c>
      <c r="M13" s="134" t="s">
        <v>133</v>
      </c>
      <c r="N13" s="134">
        <v>2773.05</v>
      </c>
      <c r="O13" s="134">
        <v>31.44</v>
      </c>
      <c r="P13" s="48">
        <v>184.29</v>
      </c>
      <c r="Q13" s="2"/>
      <c r="R13" s="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0"/>
      <c r="AG13" s="6"/>
      <c r="AH13" s="6"/>
      <c r="AI13" s="20"/>
    </row>
    <row r="14" spans="1:35" s="3" customFormat="1" ht="27" customHeight="1">
      <c r="A14" s="31">
        <v>8</v>
      </c>
      <c r="B14" s="10" t="str">
        <f t="shared" si="1"/>
        <v xml:space="preserve">CORONA OLVERA SALVADOR </v>
      </c>
      <c r="C14" s="6" t="str">
        <f t="shared" si="2"/>
        <v>CHOFER DE CAMION ESCOLAR</v>
      </c>
      <c r="D14" s="20">
        <f>H14*6.20089</f>
        <v>2214.9579079999999</v>
      </c>
      <c r="E14" s="20">
        <f>I14*6.20089</f>
        <v>214.96005274000004</v>
      </c>
      <c r="F14" s="20">
        <f t="shared" si="0"/>
        <v>1999.9978552599998</v>
      </c>
      <c r="G14" s="24"/>
      <c r="H14" s="84">
        <f t="shared" si="3"/>
        <v>357.2</v>
      </c>
      <c r="I14" s="84">
        <f t="shared" si="4"/>
        <v>34.666000000000004</v>
      </c>
      <c r="J14" s="86">
        <f t="shared" si="5"/>
        <v>322.53399999999999</v>
      </c>
      <c r="K14" s="134"/>
      <c r="L14" s="134" t="s">
        <v>134</v>
      </c>
      <c r="M14" s="134" t="s">
        <v>128</v>
      </c>
      <c r="N14" s="134">
        <v>5358</v>
      </c>
      <c r="O14" s="134">
        <v>519.99</v>
      </c>
      <c r="P14" s="48"/>
      <c r="Q14" s="2"/>
      <c r="R14" s="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0"/>
      <c r="AG14" s="6"/>
      <c r="AH14" s="6"/>
      <c r="AI14" s="20"/>
    </row>
    <row r="15" spans="1:35" s="3" customFormat="1" ht="27" customHeight="1">
      <c r="A15" s="31">
        <v>9</v>
      </c>
      <c r="B15" s="10" t="str">
        <f t="shared" si="1"/>
        <v xml:space="preserve">DELGADILLO SANCHEZ ROBERTO CARLOS </v>
      </c>
      <c r="C15" s="6" t="str">
        <f t="shared" si="2"/>
        <v>BASURA</v>
      </c>
      <c r="D15" s="20">
        <f t="shared" si="6"/>
        <v>224.43766666666667</v>
      </c>
      <c r="E15" s="20">
        <f t="shared" si="7"/>
        <v>7.7713333333333328</v>
      </c>
      <c r="F15" s="20">
        <f t="shared" si="0"/>
        <v>216.66633333333334</v>
      </c>
      <c r="G15" s="24"/>
      <c r="H15" s="84">
        <f t="shared" si="3"/>
        <v>224.43766666666667</v>
      </c>
      <c r="I15" s="84">
        <f t="shared" si="4"/>
        <v>7.7713333333333328</v>
      </c>
      <c r="J15" s="86">
        <f t="shared" si="5"/>
        <v>216.66633333333334</v>
      </c>
      <c r="K15" s="134"/>
      <c r="L15" s="134" t="s">
        <v>135</v>
      </c>
      <c r="M15" s="134" t="s">
        <v>133</v>
      </c>
      <c r="N15" s="134">
        <v>3366.5650000000001</v>
      </c>
      <c r="O15" s="134">
        <v>116.57</v>
      </c>
      <c r="P15" s="48"/>
      <c r="Q15" s="2"/>
      <c r="R15" s="2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20"/>
      <c r="AG15" s="6"/>
      <c r="AH15" s="6"/>
      <c r="AI15" s="20"/>
    </row>
    <row r="16" spans="1:35" s="3" customFormat="1" ht="27" customHeight="1">
      <c r="A16" s="31">
        <v>10</v>
      </c>
      <c r="B16" s="10" t="str">
        <f t="shared" si="1"/>
        <v xml:space="preserve">DIAZ SALDAÑA TOBIAS </v>
      </c>
      <c r="C16" s="6" t="str">
        <f t="shared" si="2"/>
        <v>BASURA</v>
      </c>
      <c r="D16" s="20">
        <f t="shared" si="6"/>
        <v>184.87</v>
      </c>
      <c r="E16" s="20">
        <f t="shared" si="7"/>
        <v>2.0960000000000001</v>
      </c>
      <c r="F16" s="20">
        <f t="shared" si="0"/>
        <v>182.774</v>
      </c>
      <c r="G16" s="24"/>
      <c r="H16" s="84">
        <f t="shared" si="3"/>
        <v>184.87</v>
      </c>
      <c r="I16" s="84">
        <f t="shared" si="4"/>
        <v>2.0960000000000001</v>
      </c>
      <c r="J16" s="86">
        <f t="shared" si="5"/>
        <v>182.774</v>
      </c>
      <c r="K16" s="134"/>
      <c r="L16" s="134" t="s">
        <v>136</v>
      </c>
      <c r="M16" s="134" t="s">
        <v>133</v>
      </c>
      <c r="N16" s="134">
        <v>2773.05</v>
      </c>
      <c r="O16" s="134">
        <v>31.44</v>
      </c>
      <c r="P16" s="48"/>
      <c r="Q16" s="2"/>
      <c r="R16" s="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20"/>
      <c r="AG16" s="6"/>
      <c r="AH16" s="6"/>
      <c r="AI16" s="20"/>
    </row>
    <row r="17" spans="1:35" s="3" customFormat="1" ht="27" customHeight="1">
      <c r="A17" s="31">
        <v>11</v>
      </c>
      <c r="B17" s="10" t="str">
        <f t="shared" si="1"/>
        <v xml:space="preserve">GONZALEZ VAZQUEZ SALVADOR </v>
      </c>
      <c r="C17" s="6" t="str">
        <f t="shared" si="2"/>
        <v>BASURA</v>
      </c>
      <c r="D17" s="20">
        <f t="shared" si="6"/>
        <v>339.93333333333334</v>
      </c>
      <c r="E17" s="20">
        <f t="shared" si="7"/>
        <v>31.571999999999999</v>
      </c>
      <c r="F17" s="20">
        <f t="shared" si="0"/>
        <v>308.36133333333333</v>
      </c>
      <c r="G17" s="24"/>
      <c r="H17" s="84">
        <f t="shared" si="3"/>
        <v>339.93333333333334</v>
      </c>
      <c r="I17" s="84">
        <f t="shared" si="4"/>
        <v>31.571999999999999</v>
      </c>
      <c r="J17" s="86">
        <f t="shared" si="5"/>
        <v>308.36133333333333</v>
      </c>
      <c r="K17" s="134"/>
      <c r="L17" s="134" t="s">
        <v>137</v>
      </c>
      <c r="M17" s="134" t="s">
        <v>133</v>
      </c>
      <c r="N17" s="134">
        <v>5099</v>
      </c>
      <c r="O17" s="134">
        <v>473.58</v>
      </c>
      <c r="P17" s="48"/>
      <c r="Q17" s="2"/>
      <c r="R17" s="2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20"/>
      <c r="AG17" s="6"/>
      <c r="AH17" s="6"/>
      <c r="AI17" s="20"/>
    </row>
    <row r="18" spans="1:35" s="3" customFormat="1" ht="27" customHeight="1">
      <c r="A18" s="31">
        <v>12</v>
      </c>
      <c r="B18" s="10" t="str">
        <f t="shared" si="1"/>
        <v xml:space="preserve">GUZMAN DELGADO MAYQUENA </v>
      </c>
      <c r="C18" s="6" t="str">
        <f t="shared" si="2"/>
        <v>AUX ADMINISTRATIVO A</v>
      </c>
      <c r="D18" s="20">
        <f t="shared" si="6"/>
        <v>244.48266666666666</v>
      </c>
      <c r="E18" s="20">
        <f t="shared" si="7"/>
        <v>11.149333333333335</v>
      </c>
      <c r="F18" s="20">
        <f t="shared" si="0"/>
        <v>233.33333333333331</v>
      </c>
      <c r="G18" s="24"/>
      <c r="H18" s="84">
        <f t="shared" si="3"/>
        <v>244.48266666666666</v>
      </c>
      <c r="I18" s="84">
        <f t="shared" si="4"/>
        <v>11.149333333333335</v>
      </c>
      <c r="J18" s="86">
        <f t="shared" si="5"/>
        <v>233.33333333333331</v>
      </c>
      <c r="K18" s="134"/>
      <c r="L18" s="134" t="s">
        <v>138</v>
      </c>
      <c r="M18" s="134" t="s">
        <v>139</v>
      </c>
      <c r="N18" s="134">
        <v>3667.24</v>
      </c>
      <c r="O18" s="134">
        <v>167.24</v>
      </c>
      <c r="P18" s="48"/>
      <c r="Q18" s="2"/>
      <c r="R18" s="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20"/>
      <c r="AG18" s="6"/>
      <c r="AH18" s="6"/>
      <c r="AI18" s="20"/>
    </row>
    <row r="19" spans="1:35" s="3" customFormat="1" ht="27" customHeight="1">
      <c r="A19" s="31">
        <v>13</v>
      </c>
      <c r="B19" s="10" t="str">
        <f t="shared" si="1"/>
        <v xml:space="preserve">JIMENEZ DE LA CRUZ ROGELIO </v>
      </c>
      <c r="C19" s="6" t="str">
        <f t="shared" si="2"/>
        <v>CUADRILLA AGUA POTABLE Y ALCAN</v>
      </c>
      <c r="D19" s="20">
        <f t="shared" si="6"/>
        <v>473.69</v>
      </c>
      <c r="E19" s="20">
        <f t="shared" si="7"/>
        <v>58.064666666666668</v>
      </c>
      <c r="F19" s="20">
        <f t="shared" si="0"/>
        <v>415.62533333333334</v>
      </c>
      <c r="G19" s="24"/>
      <c r="H19" s="84">
        <f t="shared" si="3"/>
        <v>473.69</v>
      </c>
      <c r="I19" s="84">
        <f t="shared" si="4"/>
        <v>58.064666666666668</v>
      </c>
      <c r="J19" s="86">
        <f t="shared" si="5"/>
        <v>415.62533333333334</v>
      </c>
      <c r="K19" s="134"/>
      <c r="L19" s="134" t="s">
        <v>140</v>
      </c>
      <c r="M19" s="134" t="s">
        <v>57</v>
      </c>
      <c r="N19" s="134">
        <v>7105.35</v>
      </c>
      <c r="O19" s="134">
        <v>870.97</v>
      </c>
      <c r="P19" s="48"/>
      <c r="Q19" s="2"/>
      <c r="R19" s="2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20"/>
      <c r="AG19" s="6"/>
      <c r="AH19" s="6"/>
      <c r="AI19" s="20"/>
    </row>
    <row r="20" spans="1:35" s="3" customFormat="1" ht="27" customHeight="1">
      <c r="A20" s="31">
        <v>14</v>
      </c>
      <c r="B20" s="10" t="str">
        <f t="shared" si="1"/>
        <v xml:space="preserve">MARQUEZ ROMERO GABRIEL </v>
      </c>
      <c r="C20" s="6" t="str">
        <f t="shared" si="2"/>
        <v>CHOFER ACARREADOR RASTRO</v>
      </c>
      <c r="D20" s="20">
        <f t="shared" si="6"/>
        <v>282.54399999999998</v>
      </c>
      <c r="E20" s="20">
        <f t="shared" si="7"/>
        <v>22.544</v>
      </c>
      <c r="F20" s="20">
        <f t="shared" si="0"/>
        <v>260</v>
      </c>
      <c r="G20" s="24"/>
      <c r="H20" s="84">
        <f t="shared" si="3"/>
        <v>282.54399999999998</v>
      </c>
      <c r="I20" s="84">
        <f t="shared" si="4"/>
        <v>22.544</v>
      </c>
      <c r="J20" s="86">
        <f t="shared" si="5"/>
        <v>260</v>
      </c>
      <c r="K20" s="134"/>
      <c r="L20" s="134" t="s">
        <v>72</v>
      </c>
      <c r="M20" s="134" t="s">
        <v>73</v>
      </c>
      <c r="N20" s="134">
        <v>4238.16</v>
      </c>
      <c r="O20" s="134">
        <v>338.16</v>
      </c>
      <c r="P20" s="48"/>
      <c r="Q20" s="2"/>
      <c r="R20" s="2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20"/>
      <c r="AG20" s="6"/>
      <c r="AH20" s="6"/>
      <c r="AI20" s="20"/>
    </row>
    <row r="21" spans="1:35" s="3" customFormat="1" ht="27" customHeight="1">
      <c r="A21" s="31">
        <v>15</v>
      </c>
      <c r="B21" s="10" t="str">
        <f t="shared" si="1"/>
        <v xml:space="preserve">MARTINEZ GONZALEZ HECTOR MIGUEL </v>
      </c>
      <c r="C21" s="6" t="str">
        <f t="shared" si="2"/>
        <v>CHOFER DE CAMION ESCOLAR</v>
      </c>
      <c r="D21" s="20">
        <f>H21*3.02403</f>
        <v>1110.2161659400001</v>
      </c>
      <c r="E21" s="20">
        <f>I21*3.02403</f>
        <v>110.21379738000002</v>
      </c>
      <c r="F21" s="20">
        <f t="shared" si="0"/>
        <v>1000.0023685600001</v>
      </c>
      <c r="G21" s="24"/>
      <c r="H21" s="84">
        <f t="shared" si="3"/>
        <v>367.13133333333337</v>
      </c>
      <c r="I21" s="84">
        <f t="shared" si="4"/>
        <v>36.446000000000005</v>
      </c>
      <c r="J21" s="86">
        <f t="shared" si="5"/>
        <v>330.68533333333335</v>
      </c>
      <c r="K21" s="134"/>
      <c r="L21" s="134" t="s">
        <v>141</v>
      </c>
      <c r="M21" s="134" t="s">
        <v>128</v>
      </c>
      <c r="N21" s="134">
        <v>5506.97</v>
      </c>
      <c r="O21" s="134">
        <v>546.69000000000005</v>
      </c>
      <c r="P21" s="41">
        <v>747.67840000000024</v>
      </c>
      <c r="Q21" s="2"/>
      <c r="R21" s="2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20"/>
      <c r="AG21" s="6"/>
      <c r="AH21" s="6"/>
      <c r="AI21" s="20"/>
    </row>
    <row r="22" spans="1:35" s="3" customFormat="1" ht="27" customHeight="1">
      <c r="A22" s="31">
        <v>16</v>
      </c>
      <c r="B22" s="10" t="str">
        <f t="shared" si="1"/>
        <v>YAÑEZ JIMENEZ JORGE</v>
      </c>
      <c r="C22" s="6" t="str">
        <f t="shared" si="2"/>
        <v>BASURA</v>
      </c>
      <c r="D22" s="20">
        <f t="shared" si="6"/>
        <v>224.43766666666667</v>
      </c>
      <c r="E22" s="20">
        <f t="shared" si="7"/>
        <v>7.7713333333333328</v>
      </c>
      <c r="F22" s="20">
        <f t="shared" si="0"/>
        <v>216.66633333333334</v>
      </c>
      <c r="G22" s="24"/>
      <c r="H22" s="84">
        <f t="shared" si="3"/>
        <v>224.43766666666667</v>
      </c>
      <c r="I22" s="84">
        <f t="shared" si="4"/>
        <v>7.7713333333333328</v>
      </c>
      <c r="J22" s="86">
        <f t="shared" si="5"/>
        <v>216.66633333333334</v>
      </c>
      <c r="K22" s="134"/>
      <c r="L22" s="134" t="s">
        <v>142</v>
      </c>
      <c r="M22" s="134" t="s">
        <v>133</v>
      </c>
      <c r="N22" s="134">
        <v>3366.5650000000001</v>
      </c>
      <c r="O22" s="134">
        <v>116.57</v>
      </c>
      <c r="P22" s="41">
        <v>334.48</v>
      </c>
      <c r="Q22" s="2"/>
      <c r="R22" s="2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20"/>
      <c r="AG22" s="6"/>
      <c r="AH22" s="6"/>
      <c r="AI22" s="20"/>
    </row>
    <row r="23" spans="1:35" s="3" customFormat="1" ht="27" customHeight="1">
      <c r="A23" s="31">
        <v>17</v>
      </c>
      <c r="B23" s="10" t="str">
        <f t="shared" si="1"/>
        <v xml:space="preserve">MARTINEZ NERY RAYMUNDO </v>
      </c>
      <c r="C23" s="6" t="str">
        <f t="shared" si="2"/>
        <v>MECANICO A</v>
      </c>
      <c r="D23" s="20">
        <f t="shared" si="6"/>
        <v>358.17466666666667</v>
      </c>
      <c r="E23" s="20">
        <f t="shared" si="7"/>
        <v>34.841333333333331</v>
      </c>
      <c r="F23" s="20">
        <f t="shared" si="0"/>
        <v>323.33333333333331</v>
      </c>
      <c r="G23" s="24"/>
      <c r="H23" s="84">
        <f t="shared" si="3"/>
        <v>358.17466666666667</v>
      </c>
      <c r="I23" s="84">
        <f t="shared" si="4"/>
        <v>34.841333333333331</v>
      </c>
      <c r="J23" s="86">
        <f t="shared" si="5"/>
        <v>323.33333333333331</v>
      </c>
      <c r="K23" s="134"/>
      <c r="L23" s="134" t="s">
        <v>143</v>
      </c>
      <c r="M23" s="134" t="s">
        <v>144</v>
      </c>
      <c r="N23" s="134">
        <v>5372.62</v>
      </c>
      <c r="O23" s="134">
        <v>522.62</v>
      </c>
      <c r="P23" s="38">
        <v>895.58</v>
      </c>
      <c r="Q23" s="2"/>
      <c r="R23" s="2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20"/>
      <c r="AG23" s="6"/>
      <c r="AH23" s="6"/>
      <c r="AI23" s="20"/>
    </row>
    <row r="24" spans="1:35" s="3" customFormat="1" ht="27" customHeight="1">
      <c r="A24" s="31">
        <v>18</v>
      </c>
      <c r="B24" s="10" t="str">
        <f t="shared" si="1"/>
        <v xml:space="preserve">CORONADO ENCISO JESUS GUADALUPE </v>
      </c>
      <c r="C24" s="6" t="str">
        <f t="shared" si="2"/>
        <v>MEDICO B</v>
      </c>
      <c r="D24" s="20">
        <f>H24*2.045453</f>
        <v>841.56890960200008</v>
      </c>
      <c r="E24" s="20">
        <f>I24*2.045453</f>
        <v>91.569476268666676</v>
      </c>
      <c r="F24" s="20">
        <f t="shared" si="0"/>
        <v>749.9994333333334</v>
      </c>
      <c r="G24" s="24"/>
      <c r="H24" s="84">
        <f t="shared" si="3"/>
        <v>411.43400000000003</v>
      </c>
      <c r="I24" s="84">
        <f t="shared" si="4"/>
        <v>44.767333333333333</v>
      </c>
      <c r="J24" s="86">
        <f t="shared" si="5"/>
        <v>366.66666666666669</v>
      </c>
      <c r="K24" s="134"/>
      <c r="L24" s="134" t="s">
        <v>145</v>
      </c>
      <c r="M24" s="134" t="s">
        <v>146</v>
      </c>
      <c r="N24" s="134">
        <v>6171.51</v>
      </c>
      <c r="O24" s="134">
        <v>671.51</v>
      </c>
      <c r="P24" s="41">
        <v>125.98</v>
      </c>
      <c r="Q24" s="2"/>
      <c r="R24" s="2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20"/>
      <c r="AG24" s="6"/>
      <c r="AH24" s="6"/>
      <c r="AI24" s="20"/>
    </row>
    <row r="25" spans="1:35" s="3" customFormat="1" ht="27" customHeight="1">
      <c r="A25" s="31">
        <v>19</v>
      </c>
      <c r="B25" s="10" t="str">
        <f t="shared" si="1"/>
        <v xml:space="preserve">LOMELI  GUTIERREZ JOSE DE JESUS </v>
      </c>
      <c r="C25" s="6" t="str">
        <f t="shared" si="2"/>
        <v>MECANICO A</v>
      </c>
      <c r="D25" s="20">
        <f>H25*3.75</f>
        <v>1343.155</v>
      </c>
      <c r="E25" s="20">
        <f>I25*3.75</f>
        <v>130.655</v>
      </c>
      <c r="F25" s="20">
        <f t="shared" si="0"/>
        <v>1212.5</v>
      </c>
      <c r="G25" s="24"/>
      <c r="H25" s="84">
        <f t="shared" si="3"/>
        <v>358.17466666666667</v>
      </c>
      <c r="I25" s="84">
        <f t="shared" si="4"/>
        <v>34.841333333333331</v>
      </c>
      <c r="J25" s="86">
        <f t="shared" si="5"/>
        <v>323.33333333333331</v>
      </c>
      <c r="K25" s="134"/>
      <c r="L25" s="134" t="s">
        <v>147</v>
      </c>
      <c r="M25" s="134" t="s">
        <v>144</v>
      </c>
      <c r="N25" s="134">
        <v>5372.62</v>
      </c>
      <c r="O25" s="134">
        <v>522.62</v>
      </c>
      <c r="P25" s="41">
        <v>334.48</v>
      </c>
      <c r="Q25" s="2"/>
      <c r="R25" s="2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20"/>
      <c r="AG25" s="6"/>
      <c r="AH25" s="6"/>
      <c r="AI25" s="20"/>
    </row>
    <row r="26" spans="1:35" s="3" customFormat="1" ht="27" customHeight="1">
      <c r="A26" s="31">
        <v>20</v>
      </c>
      <c r="B26" s="10" t="str">
        <f t="shared" si="1"/>
        <v xml:space="preserve">MEJIA LOPEZ ARNULFO </v>
      </c>
      <c r="C26" s="6" t="str">
        <f t="shared" si="2"/>
        <v>AYU. PARQUES Y JARDINES</v>
      </c>
      <c r="D26" s="20">
        <f t="shared" si="6"/>
        <v>339.93333333333334</v>
      </c>
      <c r="E26" s="20">
        <f t="shared" si="7"/>
        <v>31.572666666666667</v>
      </c>
      <c r="F26" s="20">
        <f t="shared" si="0"/>
        <v>308.36066666666665</v>
      </c>
      <c r="G26" s="24"/>
      <c r="H26" s="84">
        <f t="shared" si="3"/>
        <v>339.93333333333334</v>
      </c>
      <c r="I26" s="84">
        <f t="shared" si="4"/>
        <v>31.572666666666667</v>
      </c>
      <c r="J26" s="86">
        <f t="shared" si="5"/>
        <v>308.36066666666665</v>
      </c>
      <c r="K26" s="134"/>
      <c r="L26" s="134" t="s">
        <v>74</v>
      </c>
      <c r="M26" s="134" t="s">
        <v>75</v>
      </c>
      <c r="N26" s="134">
        <v>5099</v>
      </c>
      <c r="O26" s="134">
        <v>473.59</v>
      </c>
      <c r="P26" s="56">
        <v>334.48</v>
      </c>
      <c r="Q26" s="2"/>
      <c r="R26" s="2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20"/>
      <c r="AG26" s="6"/>
      <c r="AH26" s="6"/>
      <c r="AI26" s="20"/>
    </row>
    <row r="27" spans="1:35" s="3" customFormat="1" ht="27" customHeight="1">
      <c r="A27" s="31">
        <v>21</v>
      </c>
      <c r="B27" s="10" t="str">
        <f t="shared" si="1"/>
        <v xml:space="preserve">NAVARRO MORALES JENNIFER </v>
      </c>
      <c r="C27" s="6" t="str">
        <f t="shared" si="2"/>
        <v>MEDICO B</v>
      </c>
      <c r="D27" s="20">
        <f>H27*1.79999</f>
        <v>855.02164985333343</v>
      </c>
      <c r="E27" s="20">
        <f>I27*1.79999</f>
        <v>105.02581651999999</v>
      </c>
      <c r="F27" s="20">
        <f t="shared" si="0"/>
        <v>749.99583333333339</v>
      </c>
      <c r="G27" s="24"/>
      <c r="H27" s="84">
        <f t="shared" si="3"/>
        <v>475.0146666666667</v>
      </c>
      <c r="I27" s="84">
        <f t="shared" si="4"/>
        <v>58.347999999999999</v>
      </c>
      <c r="J27" s="86">
        <f t="shared" si="5"/>
        <v>416.66666666666669</v>
      </c>
      <c r="K27" s="134"/>
      <c r="L27" s="134" t="s">
        <v>148</v>
      </c>
      <c r="M27" s="134" t="s">
        <v>146</v>
      </c>
      <c r="N27" s="134">
        <v>7125.22</v>
      </c>
      <c r="O27" s="134">
        <v>875.22</v>
      </c>
      <c r="P27" s="41">
        <v>1886.25</v>
      </c>
      <c r="Q27" s="2"/>
      <c r="R27" s="2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20"/>
      <c r="AG27" s="6"/>
      <c r="AH27" s="6"/>
      <c r="AI27" s="20"/>
    </row>
    <row r="28" spans="1:35" s="3" customFormat="1" ht="27" customHeight="1">
      <c r="A28" s="31">
        <v>22</v>
      </c>
      <c r="B28" s="10" t="str">
        <f t="shared" si="1"/>
        <v>VILLALPANDO DOMINGUEZ ALDO IVAN</v>
      </c>
      <c r="C28" s="6" t="str">
        <f t="shared" si="2"/>
        <v>MEDICO B</v>
      </c>
      <c r="D28" s="20">
        <f>H28*7.2528</f>
        <v>3445.1863744000002</v>
      </c>
      <c r="E28" s="20">
        <f>I28*7.2528</f>
        <v>423.18637439999998</v>
      </c>
      <c r="F28" s="20">
        <f t="shared" si="0"/>
        <v>3022</v>
      </c>
      <c r="G28" s="24"/>
      <c r="H28" s="84">
        <f t="shared" si="3"/>
        <v>475.0146666666667</v>
      </c>
      <c r="I28" s="84">
        <f t="shared" si="4"/>
        <v>58.347999999999999</v>
      </c>
      <c r="J28" s="86">
        <f t="shared" si="5"/>
        <v>416.66666666666669</v>
      </c>
      <c r="K28" s="134"/>
      <c r="L28" s="134" t="s">
        <v>149</v>
      </c>
      <c r="M28" s="134" t="s">
        <v>146</v>
      </c>
      <c r="N28" s="134">
        <v>7125.22</v>
      </c>
      <c r="O28" s="134">
        <v>875.22</v>
      </c>
      <c r="P28" s="41">
        <v>1343.01</v>
      </c>
      <c r="Q28" s="2"/>
      <c r="R28" s="2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20"/>
      <c r="AG28" s="6"/>
      <c r="AH28" s="6"/>
      <c r="AI28" s="20"/>
    </row>
    <row r="29" spans="1:35" s="3" customFormat="1" ht="27" customHeight="1">
      <c r="A29" s="9"/>
      <c r="B29" s="10"/>
      <c r="C29" s="26"/>
      <c r="D29" s="4"/>
      <c r="E29" s="4"/>
      <c r="F29" s="4"/>
      <c r="G29" s="24"/>
      <c r="H29" s="84"/>
      <c r="I29" s="91"/>
      <c r="J29" s="86"/>
      <c r="K29" s="87"/>
      <c r="L29" s="110"/>
      <c r="M29" s="118"/>
      <c r="N29" s="118"/>
      <c r="O29" s="118"/>
      <c r="P29" s="132"/>
      <c r="Q29" s="2"/>
      <c r="R29" s="2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20"/>
      <c r="AG29" s="6"/>
      <c r="AH29" s="6"/>
      <c r="AI29" s="20"/>
    </row>
    <row r="30" spans="1:35" s="3" customFormat="1" ht="27" customHeight="1">
      <c r="A30" s="9"/>
      <c r="B30" s="10"/>
      <c r="C30" s="26"/>
      <c r="D30" s="32">
        <f>SUM(D7:D29)</f>
        <v>18618.702578528668</v>
      </c>
      <c r="E30" s="32">
        <f>SUM(E7:E29)</f>
        <v>1762.7490717620001</v>
      </c>
      <c r="F30" s="32">
        <f>SUM(F7:F29)</f>
        <v>16855.953506766669</v>
      </c>
      <c r="G30" s="24"/>
      <c r="H30" s="84"/>
      <c r="I30" s="91"/>
      <c r="J30" s="86"/>
      <c r="K30" s="87"/>
      <c r="L30" s="110"/>
      <c r="M30" s="118"/>
      <c r="N30" s="118"/>
      <c r="O30" s="118"/>
      <c r="P30" s="132"/>
      <c r="Q30" s="2"/>
      <c r="R30" s="2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20"/>
      <c r="AG30" s="6"/>
      <c r="AH30" s="6"/>
      <c r="AI30" s="20"/>
    </row>
    <row r="31" spans="1:35" s="3" customFormat="1" ht="27" customHeight="1">
      <c r="A31" s="9"/>
      <c r="B31" s="10" t="s">
        <v>151</v>
      </c>
      <c r="C31" s="30"/>
      <c r="D31" s="4"/>
      <c r="E31" s="4"/>
      <c r="F31" s="4"/>
      <c r="G31" s="24" t="s">
        <v>18</v>
      </c>
      <c r="H31" s="84"/>
      <c r="I31" s="91"/>
      <c r="J31" s="86">
        <f>SUM(H31-I31)</f>
        <v>0</v>
      </c>
      <c r="K31" s="87"/>
      <c r="L31" s="110"/>
      <c r="M31" s="118"/>
      <c r="N31" s="120"/>
      <c r="O31" s="131"/>
      <c r="P31" s="132"/>
      <c r="Q31" s="2"/>
      <c r="R31" s="2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20"/>
      <c r="AG31" s="6"/>
      <c r="AH31" s="6"/>
      <c r="AI31" s="20"/>
    </row>
    <row r="32" spans="1:35" s="3" customFormat="1" ht="27" customHeight="1">
      <c r="A32" s="9"/>
      <c r="B32" s="10" t="s">
        <v>152</v>
      </c>
      <c r="C32" s="26"/>
      <c r="D32" s="4"/>
      <c r="E32" s="4"/>
      <c r="F32" s="4"/>
      <c r="G32" s="24" t="s">
        <v>18</v>
      </c>
      <c r="H32" s="84"/>
      <c r="I32" s="91"/>
      <c r="J32" s="86">
        <f>SUM(H32-I32)</f>
        <v>0</v>
      </c>
      <c r="K32" s="87"/>
      <c r="L32" s="109"/>
      <c r="M32" s="95"/>
      <c r="N32" s="117"/>
      <c r="O32" s="131"/>
      <c r="P32" s="132"/>
      <c r="Q32" s="2"/>
      <c r="R32" s="2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20"/>
      <c r="AG32" s="6"/>
      <c r="AH32" s="6"/>
      <c r="AI32" s="20"/>
    </row>
    <row r="33" spans="1:35" s="3" customFormat="1" ht="27" customHeight="1">
      <c r="A33" s="9"/>
      <c r="B33" s="10"/>
      <c r="C33" s="26"/>
      <c r="D33" s="28"/>
      <c r="E33" s="28"/>
      <c r="F33" s="21"/>
      <c r="G33" s="24" t="s">
        <v>18</v>
      </c>
      <c r="H33" s="91"/>
      <c r="I33" s="91"/>
      <c r="J33" s="86"/>
      <c r="K33" s="98"/>
      <c r="L33" s="98"/>
      <c r="M33" s="95"/>
      <c r="N33" s="117"/>
      <c r="O33" s="131"/>
      <c r="P33" s="132"/>
      <c r="Q33" s="2"/>
      <c r="R33" s="2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20"/>
      <c r="AG33" s="6"/>
      <c r="AH33" s="6"/>
      <c r="AI33" s="20"/>
    </row>
    <row r="41" spans="1:35" ht="27" customHeight="1">
      <c r="D41" s="20"/>
      <c r="E41" s="20"/>
      <c r="F41" s="20"/>
    </row>
    <row r="42" spans="1:35" ht="27" customHeight="1">
      <c r="D42" s="20"/>
      <c r="E42" s="20"/>
      <c r="F42" s="20"/>
    </row>
    <row r="43" spans="1:35" ht="27" customHeight="1">
      <c r="D43" s="20"/>
      <c r="E43" s="20"/>
      <c r="F43" s="20"/>
    </row>
    <row r="44" spans="1:35" ht="27" customHeight="1">
      <c r="D44" s="20"/>
      <c r="E44" s="20"/>
      <c r="F44" s="20"/>
    </row>
    <row r="45" spans="1:35" ht="27" customHeight="1">
      <c r="C45" s="62"/>
      <c r="D45" s="63"/>
      <c r="E45" s="63"/>
      <c r="F45" s="63"/>
    </row>
  </sheetData>
  <mergeCells count="4">
    <mergeCell ref="A1:G1"/>
    <mergeCell ref="A2:G2"/>
    <mergeCell ref="A3:G3"/>
    <mergeCell ref="A4:G4"/>
  </mergeCells>
  <pageMargins left="0.23622047244094491" right="0.23622047244094491" top="0.74803149606299213" bottom="0.74803149606299213" header="0.31496062992125984" footer="0.31496062992125984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1"/>
  <sheetViews>
    <sheetView zoomScale="90" zoomScaleNormal="90" workbookViewId="0">
      <selection activeCell="C34" sqref="C34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33.5703125" style="30" bestFit="1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37" style="6" customWidth="1"/>
    <col min="8" max="8" width="11.5703125" style="84" bestFit="1" customWidth="1"/>
    <col min="9" max="9" width="9.5703125" style="91" customWidth="1"/>
    <col min="10" max="10" width="17.5703125" style="157" customWidth="1"/>
    <col min="11" max="11" width="16.7109375" style="87" customWidth="1"/>
    <col min="12" max="12" width="23.42578125" style="109" customWidth="1"/>
    <col min="13" max="13" width="9.7109375" style="95" customWidth="1"/>
    <col min="14" max="14" width="10.140625" style="117" bestFit="1" customWidth="1"/>
    <col min="15" max="16" width="9" style="131" bestFit="1" customWidth="1"/>
    <col min="17" max="17" width="11.7109375" style="95" customWidth="1"/>
    <col min="18" max="18" width="6.85546875" style="6" customWidth="1"/>
    <col min="19" max="19" width="13.85546875" style="6" customWidth="1"/>
    <col min="20" max="20" width="11.7109375" style="6" customWidth="1"/>
    <col min="21" max="21" width="43.42578125" style="6" customWidth="1"/>
    <col min="22" max="30" width="11.7109375" style="6" customWidth="1"/>
    <col min="31" max="31" width="11.7109375" style="20" customWidth="1"/>
    <col min="32" max="33" width="11.7109375" style="6" customWidth="1"/>
    <col min="34" max="34" width="11.7109375" style="20" customWidth="1"/>
    <col min="35" max="35" width="11.7109375" style="6" customWidth="1"/>
    <col min="36" max="36" width="2.28515625" style="6" customWidth="1"/>
    <col min="37" max="37" width="15.5703125" style="6" customWidth="1"/>
    <col min="38" max="38" width="11.42578125" style="6" customWidth="1"/>
    <col min="39" max="39" width="11.42578125" style="6"/>
    <col min="40" max="40" width="11.42578125" style="6" customWidth="1"/>
    <col min="41" max="41" width="42.28515625" style="6" customWidth="1"/>
    <col min="42" max="16384" width="11.42578125" style="6"/>
  </cols>
  <sheetData>
    <row r="1" spans="1:35" s="175" customFormat="1" ht="27" customHeight="1">
      <c r="A1" s="229" t="s">
        <v>24</v>
      </c>
      <c r="B1" s="230"/>
      <c r="C1" s="230"/>
      <c r="D1" s="230"/>
      <c r="E1" s="230"/>
      <c r="F1" s="230"/>
      <c r="G1" s="231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32" t="s">
        <v>153</v>
      </c>
      <c r="B2" s="233"/>
      <c r="C2" s="233"/>
      <c r="D2" s="233"/>
      <c r="E2" s="233"/>
      <c r="F2" s="233"/>
      <c r="G2" s="234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318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s="3" customFormat="1" ht="27" customHeight="1">
      <c r="A7" s="31">
        <v>1</v>
      </c>
      <c r="B7" s="8" t="str">
        <f t="shared" ref="B7:C9" si="0">+L7</f>
        <v>MARTINEZ ESTEVEZ BRENDA</v>
      </c>
      <c r="C7" s="6" t="str">
        <f t="shared" si="0"/>
        <v>OFICIAL DE REGISTRO CIVIL SAN ANTONIO</v>
      </c>
      <c r="D7" s="20">
        <f>H7</f>
        <v>364</v>
      </c>
      <c r="E7" s="20">
        <f>I7</f>
        <v>34.64</v>
      </c>
      <c r="F7" s="20">
        <f t="shared" ref="F7:F9" si="1">D7-E7</f>
        <v>329.36</v>
      </c>
      <c r="G7" s="24"/>
      <c r="H7" s="84">
        <v>364</v>
      </c>
      <c r="I7" s="84">
        <v>34.64</v>
      </c>
      <c r="J7" s="157">
        <f t="shared" ref="J7:J9" si="2">+H7-I7</f>
        <v>329.36</v>
      </c>
      <c r="K7" s="142"/>
      <c r="L7" s="98" t="s">
        <v>304</v>
      </c>
      <c r="M7" s="143" t="s">
        <v>30</v>
      </c>
      <c r="N7" s="144"/>
      <c r="O7" s="97">
        <v>19.86</v>
      </c>
      <c r="P7" s="97">
        <v>0</v>
      </c>
      <c r="Q7" s="95"/>
      <c r="R7" s="2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20"/>
      <c r="AG7" s="6"/>
      <c r="AH7" s="6"/>
      <c r="AI7" s="20"/>
    </row>
    <row r="8" spans="1:35" s="3" customFormat="1" ht="27" customHeight="1">
      <c r="A8" s="31">
        <v>2</v>
      </c>
      <c r="B8" s="8" t="str">
        <f t="shared" si="0"/>
        <v xml:space="preserve">INIGUEZ HERNANDEZ MIRIAM RAXEL </v>
      </c>
      <c r="C8" s="6" t="str">
        <f t="shared" si="0"/>
        <v xml:space="preserve">OFICIAL REGISTRO CIVIL PALOS ALTOS </v>
      </c>
      <c r="D8" s="20">
        <f t="shared" ref="D8:E8" si="3">H8</f>
        <v>364</v>
      </c>
      <c r="E8" s="20">
        <f t="shared" si="3"/>
        <v>34.64</v>
      </c>
      <c r="F8" s="20">
        <f t="shared" si="1"/>
        <v>329.36</v>
      </c>
      <c r="G8" s="24"/>
      <c r="H8" s="84">
        <v>364</v>
      </c>
      <c r="I8" s="84">
        <v>34.64</v>
      </c>
      <c r="J8" s="157">
        <f t="shared" si="2"/>
        <v>329.36</v>
      </c>
      <c r="K8" s="142"/>
      <c r="L8" s="98" t="s">
        <v>316</v>
      </c>
      <c r="M8" s="143" t="s">
        <v>317</v>
      </c>
      <c r="N8" s="144"/>
      <c r="O8" s="97">
        <v>0</v>
      </c>
      <c r="P8" s="97">
        <v>1214.74</v>
      </c>
      <c r="Q8" s="95"/>
      <c r="R8" s="2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6"/>
      <c r="AH8" s="6"/>
      <c r="AI8" s="20"/>
    </row>
    <row r="9" spans="1:35" s="3" customFormat="1" ht="27" customHeight="1">
      <c r="A9" s="31">
        <v>3</v>
      </c>
      <c r="B9" s="8" t="str">
        <f t="shared" si="0"/>
        <v xml:space="preserve">GOMEZ LOZA SANTIAGO </v>
      </c>
      <c r="C9" s="6" t="str">
        <f t="shared" si="0"/>
        <v>AYUDANTE SIST. AGUA</v>
      </c>
      <c r="D9" s="20">
        <f>H9</f>
        <v>269.93333333333334</v>
      </c>
      <c r="E9" s="20">
        <f>I9</f>
        <v>24.496666666666666</v>
      </c>
      <c r="F9" s="20">
        <f t="shared" si="1"/>
        <v>245.43666666666667</v>
      </c>
      <c r="G9" s="24"/>
      <c r="H9" s="84">
        <f t="shared" ref="H9" si="4">+N9/15</f>
        <v>269.93333333333334</v>
      </c>
      <c r="I9" s="84">
        <f t="shared" ref="I9" si="5">+P9/15</f>
        <v>24.496666666666666</v>
      </c>
      <c r="J9" s="157">
        <f t="shared" si="2"/>
        <v>245.43666666666667</v>
      </c>
      <c r="K9" s="142"/>
      <c r="L9" s="98" t="s">
        <v>182</v>
      </c>
      <c r="M9" s="143" t="s">
        <v>183</v>
      </c>
      <c r="N9" s="144">
        <v>4049</v>
      </c>
      <c r="O9" s="97">
        <v>317.58</v>
      </c>
      <c r="P9" s="97">
        <v>367.45</v>
      </c>
      <c r="Q9" s="95"/>
      <c r="R9" s="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0"/>
      <c r="AG9" s="6"/>
      <c r="AH9" s="6"/>
      <c r="AI9" s="20"/>
    </row>
    <row r="10" spans="1:35" s="3" customFormat="1" ht="27" customHeight="1">
      <c r="A10" s="31"/>
      <c r="B10" s="10"/>
      <c r="C10" s="67" t="s">
        <v>165</v>
      </c>
      <c r="D10" s="63">
        <f>SUM(D7:D9)</f>
        <v>997.93333333333339</v>
      </c>
      <c r="E10" s="63">
        <f>SUM(E7:E9)</f>
        <v>93.776666666666671</v>
      </c>
      <c r="F10" s="63">
        <f>SUM(F7:F9)</f>
        <v>904.15666666666675</v>
      </c>
      <c r="G10" s="7"/>
      <c r="H10" s="84"/>
      <c r="I10" s="84"/>
      <c r="J10" s="157"/>
      <c r="K10" s="134"/>
      <c r="L10" s="134"/>
      <c r="M10" s="134"/>
      <c r="N10" s="97"/>
      <c r="O10" s="95"/>
      <c r="P10" s="95"/>
      <c r="Q10" s="98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20"/>
      <c r="AD10" s="6"/>
      <c r="AE10" s="6"/>
      <c r="AF10" s="20"/>
    </row>
    <row r="11" spans="1:35" s="3" customFormat="1" ht="27" customHeight="1">
      <c r="A11" s="31"/>
      <c r="B11" s="10" t="s">
        <v>319</v>
      </c>
      <c r="C11" s="6"/>
      <c r="D11" s="20"/>
      <c r="E11" s="20"/>
      <c r="F11" s="20"/>
      <c r="G11" s="7"/>
      <c r="H11" s="84"/>
      <c r="I11" s="84"/>
      <c r="J11" s="157"/>
      <c r="K11" s="134"/>
      <c r="L11" s="134"/>
      <c r="M11" s="134"/>
      <c r="N11" s="134"/>
      <c r="O11" s="95"/>
      <c r="P11" s="95"/>
      <c r="Q11" s="9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20"/>
      <c r="AD11" s="6"/>
      <c r="AE11" s="6"/>
      <c r="AF11" s="20"/>
    </row>
    <row r="12" spans="1:35" s="3" customFormat="1" ht="27" customHeight="1">
      <c r="A12" s="31"/>
      <c r="B12" s="10" t="s">
        <v>320</v>
      </c>
      <c r="C12" s="6"/>
      <c r="D12" s="20"/>
      <c r="E12" s="20"/>
      <c r="F12" s="20"/>
      <c r="G12" s="7"/>
      <c r="H12" s="84"/>
      <c r="I12" s="84"/>
      <c r="J12" s="157"/>
      <c r="K12" s="134"/>
      <c r="L12" s="134"/>
      <c r="M12" s="134"/>
      <c r="N12" s="134"/>
      <c r="O12" s="95"/>
      <c r="P12" s="95"/>
      <c r="Q12" s="98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20"/>
      <c r="AD12" s="6"/>
      <c r="AE12" s="6"/>
      <c r="AF12" s="20"/>
    </row>
    <row r="13" spans="1:35" s="3" customFormat="1" ht="27" customHeight="1">
      <c r="A13" s="31"/>
      <c r="B13" s="10"/>
      <c r="C13" s="6"/>
      <c r="D13" s="20"/>
      <c r="E13" s="20"/>
      <c r="F13" s="20"/>
      <c r="G13" s="7"/>
      <c r="H13" s="84"/>
      <c r="I13" s="84"/>
      <c r="J13" s="157"/>
      <c r="K13" s="134"/>
      <c r="L13" s="134"/>
      <c r="M13" s="134"/>
      <c r="N13" s="134"/>
      <c r="O13" s="95"/>
      <c r="P13" s="95"/>
      <c r="Q13" s="98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20"/>
      <c r="AD13" s="6"/>
      <c r="AE13" s="6"/>
      <c r="AF13" s="20"/>
    </row>
    <row r="14" spans="1:35" s="3" customFormat="1" ht="27" customHeight="1">
      <c r="A14" s="31"/>
      <c r="B14" s="10"/>
      <c r="C14" s="6"/>
      <c r="D14" s="20"/>
      <c r="E14" s="20"/>
      <c r="F14" s="20"/>
      <c r="G14" s="7"/>
      <c r="H14" s="84"/>
      <c r="I14" s="84"/>
      <c r="J14" s="157"/>
      <c r="K14" s="134"/>
      <c r="L14" s="134"/>
      <c r="M14" s="134"/>
      <c r="N14" s="134"/>
      <c r="O14" s="95"/>
      <c r="P14" s="95"/>
      <c r="Q14" s="98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20"/>
      <c r="AD14" s="6"/>
      <c r="AE14" s="6"/>
      <c r="AF14" s="20"/>
    </row>
    <row r="15" spans="1:35" s="3" customFormat="1" ht="27" customHeight="1">
      <c r="A15" s="31"/>
      <c r="B15" s="10"/>
      <c r="C15" s="6"/>
      <c r="D15" s="20"/>
      <c r="E15" s="20"/>
      <c r="F15" s="20"/>
      <c r="G15" s="7"/>
      <c r="H15" s="84"/>
      <c r="I15" s="84"/>
      <c r="J15" s="157"/>
      <c r="K15" s="134"/>
      <c r="L15" s="134"/>
      <c r="M15" s="134"/>
      <c r="N15" s="134"/>
      <c r="O15" s="95"/>
      <c r="P15" s="95"/>
      <c r="Q15" s="98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20"/>
      <c r="AD15" s="6"/>
      <c r="AE15" s="6"/>
      <c r="AF15" s="20"/>
    </row>
    <row r="16" spans="1:35" s="3" customFormat="1" ht="27" customHeight="1">
      <c r="A16" s="31"/>
      <c r="B16" s="10"/>
      <c r="C16" s="6"/>
      <c r="D16" s="20"/>
      <c r="E16" s="20"/>
      <c r="F16" s="20"/>
      <c r="G16" s="7"/>
      <c r="H16" s="84"/>
      <c r="I16" s="84"/>
      <c r="J16" s="157"/>
      <c r="K16" s="134"/>
      <c r="L16" s="134"/>
      <c r="M16" s="134"/>
      <c r="N16" s="134"/>
      <c r="O16" s="95"/>
      <c r="P16" s="95"/>
      <c r="Q16" s="98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20"/>
      <c r="AD16" s="6"/>
      <c r="AE16" s="6"/>
      <c r="AF16" s="20"/>
    </row>
    <row r="17" spans="1:35" s="3" customFormat="1" ht="27" customHeight="1">
      <c r="A17" s="31"/>
      <c r="B17" s="10"/>
      <c r="C17" s="6"/>
      <c r="D17" s="20"/>
      <c r="E17" s="20"/>
      <c r="F17" s="20"/>
      <c r="G17" s="7"/>
      <c r="H17" s="84"/>
      <c r="I17" s="84"/>
      <c r="J17" s="157"/>
      <c r="K17" s="134"/>
      <c r="L17" s="134"/>
      <c r="M17" s="134"/>
      <c r="N17" s="134"/>
      <c r="O17" s="95"/>
      <c r="P17" s="95"/>
      <c r="Q17" s="98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20"/>
      <c r="AD17" s="6"/>
      <c r="AE17" s="6"/>
      <c r="AF17" s="20"/>
    </row>
    <row r="18" spans="1:35" s="3" customFormat="1" ht="27" customHeight="1">
      <c r="A18" s="238" t="s">
        <v>24</v>
      </c>
      <c r="B18" s="239"/>
      <c r="C18" s="239"/>
      <c r="D18" s="239"/>
      <c r="E18" s="239"/>
      <c r="F18" s="239"/>
      <c r="G18" s="240"/>
      <c r="H18" s="84"/>
      <c r="I18" s="84"/>
      <c r="J18" s="157"/>
      <c r="K18" s="134"/>
      <c r="L18" s="134"/>
      <c r="M18" s="134"/>
      <c r="N18" s="134"/>
      <c r="O18" s="95"/>
      <c r="P18" s="95"/>
      <c r="Q18" s="98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20"/>
      <c r="AD18" s="6"/>
      <c r="AE18" s="6"/>
      <c r="AF18" s="20"/>
    </row>
    <row r="19" spans="1:35" s="3" customFormat="1" ht="27" customHeight="1">
      <c r="A19" s="238" t="s">
        <v>244</v>
      </c>
      <c r="B19" s="239"/>
      <c r="C19" s="239"/>
      <c r="D19" s="239"/>
      <c r="E19" s="239"/>
      <c r="F19" s="239"/>
      <c r="G19" s="240"/>
      <c r="H19" s="84"/>
      <c r="I19" s="84"/>
      <c r="J19" s="157"/>
      <c r="K19" s="134"/>
      <c r="L19" s="134"/>
      <c r="M19" s="134"/>
      <c r="N19" s="134"/>
      <c r="O19" s="95"/>
      <c r="P19" s="95"/>
      <c r="Q19" s="98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20"/>
      <c r="AD19" s="6"/>
      <c r="AE19" s="6"/>
      <c r="AF19" s="20"/>
    </row>
    <row r="20" spans="1:35" s="3" customFormat="1" ht="27" customHeight="1">
      <c r="A20" s="238" t="str">
        <f>+A3</f>
        <v xml:space="preserve">AYUNTAMIENTO Y QUE  CORRESPONDEN A LA 1ra QUINCENA DE DICIEMBRE DE 2019 </v>
      </c>
      <c r="B20" s="239"/>
      <c r="C20" s="239"/>
      <c r="D20" s="239"/>
      <c r="E20" s="239"/>
      <c r="F20" s="239"/>
      <c r="G20" s="240"/>
      <c r="H20" s="84"/>
      <c r="I20" s="84"/>
      <c r="J20" s="157"/>
      <c r="K20" s="134"/>
      <c r="L20" s="134"/>
      <c r="M20" s="134"/>
      <c r="N20" s="134"/>
      <c r="O20" s="95"/>
      <c r="P20" s="95"/>
      <c r="Q20" s="98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20"/>
      <c r="AD20" s="6"/>
      <c r="AE20" s="6"/>
      <c r="AF20" s="20"/>
    </row>
    <row r="21" spans="1:35" s="3" customFormat="1" ht="27" customHeight="1">
      <c r="A21" s="238" t="s">
        <v>322</v>
      </c>
      <c r="B21" s="239"/>
      <c r="C21" s="239"/>
      <c r="D21" s="239"/>
      <c r="E21" s="239"/>
      <c r="F21" s="239"/>
      <c r="G21" s="240"/>
      <c r="H21" s="84"/>
      <c r="I21" s="84"/>
      <c r="J21" s="157"/>
      <c r="K21" s="134"/>
      <c r="L21" s="134"/>
      <c r="M21" s="134"/>
      <c r="N21" s="134"/>
      <c r="O21" s="95"/>
      <c r="P21" s="95"/>
      <c r="Q21" s="98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20"/>
      <c r="AD21" s="6"/>
      <c r="AE21" s="6"/>
      <c r="AF21" s="20"/>
    </row>
    <row r="22" spans="1:35" s="3" customFormat="1" ht="27" customHeight="1">
      <c r="A22" s="76"/>
      <c r="B22" s="77"/>
      <c r="C22" s="78"/>
      <c r="D22" s="79"/>
      <c r="E22" s="79"/>
      <c r="F22" s="79"/>
      <c r="G22" s="80"/>
      <c r="H22" s="84"/>
      <c r="I22" s="84"/>
      <c r="J22" s="157"/>
      <c r="K22" s="134"/>
      <c r="L22" s="134"/>
      <c r="M22" s="134"/>
      <c r="N22" s="134"/>
      <c r="O22" s="95"/>
      <c r="P22" s="95"/>
      <c r="Q22" s="98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20"/>
      <c r="AD22" s="6"/>
      <c r="AE22" s="6"/>
      <c r="AF22" s="20"/>
    </row>
    <row r="23" spans="1:35" s="3" customFormat="1" ht="27" customHeight="1">
      <c r="A23" s="76">
        <v>1</v>
      </c>
      <c r="B23" s="77" t="s">
        <v>145</v>
      </c>
      <c r="C23" s="81" t="s">
        <v>146</v>
      </c>
      <c r="D23" s="79">
        <f>+H23</f>
        <v>580.98266666666666</v>
      </c>
      <c r="E23" s="79">
        <f>+I23</f>
        <v>80.982666666666674</v>
      </c>
      <c r="F23" s="79">
        <f>+D23-E23</f>
        <v>500</v>
      </c>
      <c r="G23" s="80"/>
      <c r="H23" s="84">
        <v>580.98266666666666</v>
      </c>
      <c r="I23" s="84">
        <v>80.982666666666674</v>
      </c>
      <c r="J23" s="86">
        <f>+H23-I23</f>
        <v>500</v>
      </c>
      <c r="K23" s="134"/>
      <c r="L23" s="134" t="s">
        <v>145</v>
      </c>
      <c r="M23" s="134" t="s">
        <v>146</v>
      </c>
      <c r="N23" s="134">
        <v>8714.74</v>
      </c>
      <c r="O23" s="97">
        <v>1214.74</v>
      </c>
      <c r="P23" s="97">
        <v>1214.74</v>
      </c>
      <c r="Q23" s="95"/>
      <c r="R23" s="2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20"/>
      <c r="AG23" s="6"/>
      <c r="AH23" s="6"/>
      <c r="AI23" s="20"/>
    </row>
    <row r="24" spans="1:35" s="3" customFormat="1" ht="27" customHeight="1">
      <c r="A24" s="76"/>
      <c r="B24" s="77"/>
      <c r="C24" s="78"/>
      <c r="D24" s="79"/>
      <c r="E24" s="79"/>
      <c r="F24" s="79"/>
      <c r="G24" s="80"/>
      <c r="H24" s="84"/>
      <c r="I24" s="84"/>
      <c r="J24" s="86"/>
      <c r="K24" s="142"/>
      <c r="L24" s="98"/>
      <c r="M24" s="134"/>
      <c r="N24" s="134"/>
      <c r="O24" s="95"/>
      <c r="P24" s="98"/>
      <c r="Q24" s="98"/>
      <c r="R24" s="6"/>
      <c r="S24" s="6"/>
      <c r="T24" s="6"/>
      <c r="U24" s="6"/>
      <c r="V24" s="6"/>
      <c r="W24" s="6"/>
      <c r="X24" s="6"/>
      <c r="Y24" s="6"/>
      <c r="Z24" s="6"/>
      <c r="AA24" s="6"/>
      <c r="AB24" s="20"/>
      <c r="AC24" s="6"/>
      <c r="AD24" s="6"/>
      <c r="AE24" s="20"/>
    </row>
    <row r="25" spans="1:35" s="3" customFormat="1" ht="27" customHeight="1">
      <c r="A25" s="76"/>
      <c r="B25" s="77"/>
      <c r="C25" s="78"/>
      <c r="D25" s="79"/>
      <c r="E25" s="79"/>
      <c r="F25" s="79"/>
      <c r="G25" s="80"/>
      <c r="H25" s="84"/>
      <c r="I25" s="84"/>
      <c r="J25" s="86"/>
      <c r="K25" s="142"/>
      <c r="L25" s="98"/>
      <c r="M25" s="134"/>
      <c r="N25" s="134"/>
      <c r="O25" s="95"/>
      <c r="P25" s="98"/>
      <c r="Q25" s="98"/>
      <c r="R25" s="6"/>
      <c r="S25" s="6"/>
      <c r="T25" s="6"/>
      <c r="U25" s="6"/>
      <c r="V25" s="6"/>
      <c r="W25" s="6"/>
      <c r="X25" s="6"/>
      <c r="Y25" s="6"/>
      <c r="Z25" s="6"/>
      <c r="AA25" s="6"/>
      <c r="AB25" s="20"/>
      <c r="AC25" s="6"/>
      <c r="AD25" s="6"/>
      <c r="AE25" s="20"/>
    </row>
    <row r="26" spans="1:35" s="3" customFormat="1" ht="27" customHeight="1">
      <c r="A26" s="76"/>
      <c r="B26" s="77"/>
      <c r="C26" s="78"/>
      <c r="D26" s="79"/>
      <c r="E26" s="79"/>
      <c r="F26" s="79"/>
      <c r="G26" s="80"/>
      <c r="H26" s="84"/>
      <c r="I26" s="84"/>
      <c r="J26" s="86"/>
      <c r="K26" s="142"/>
      <c r="L26" s="98"/>
      <c r="M26" s="134"/>
      <c r="N26" s="134"/>
      <c r="O26" s="95"/>
      <c r="P26" s="98"/>
      <c r="Q26" s="98"/>
      <c r="R26" s="6"/>
      <c r="S26" s="6"/>
      <c r="T26" s="6"/>
      <c r="U26" s="6"/>
      <c r="V26" s="6"/>
      <c r="W26" s="6"/>
      <c r="X26" s="6"/>
      <c r="Y26" s="6"/>
      <c r="Z26" s="6"/>
      <c r="AA26" s="6"/>
      <c r="AB26" s="20"/>
      <c r="AC26" s="6"/>
      <c r="AD26" s="6"/>
      <c r="AE26" s="20"/>
    </row>
    <row r="27" spans="1:35" s="3" customFormat="1" ht="27" customHeight="1">
      <c r="A27" s="76"/>
      <c r="B27" s="77"/>
      <c r="C27" s="78"/>
      <c r="D27" s="79"/>
      <c r="E27" s="79"/>
      <c r="F27" s="79"/>
      <c r="G27" s="80"/>
      <c r="H27" s="84"/>
      <c r="I27" s="84"/>
      <c r="J27" s="86"/>
      <c r="K27" s="142"/>
      <c r="L27" s="98"/>
      <c r="M27" s="134"/>
      <c r="N27" s="134"/>
      <c r="O27" s="95"/>
      <c r="P27" s="98"/>
      <c r="Q27" s="98"/>
      <c r="R27" s="6"/>
      <c r="S27" s="6"/>
      <c r="T27" s="6"/>
      <c r="U27" s="6"/>
      <c r="V27" s="6"/>
      <c r="W27" s="6"/>
      <c r="X27" s="6"/>
      <c r="Y27" s="6"/>
      <c r="Z27" s="6"/>
      <c r="AA27" s="6"/>
      <c r="AB27" s="20"/>
      <c r="AC27" s="6"/>
      <c r="AD27" s="6"/>
      <c r="AE27" s="20"/>
    </row>
    <row r="28" spans="1:35" s="3" customFormat="1" ht="27" customHeight="1">
      <c r="A28" s="76"/>
      <c r="B28" s="77"/>
      <c r="C28" s="82" t="s">
        <v>165</v>
      </c>
      <c r="D28" s="83">
        <f>SUM(D23:D27)</f>
        <v>580.98266666666666</v>
      </c>
      <c r="E28" s="83">
        <f>SUM(E23:E27)</f>
        <v>80.982666666666674</v>
      </c>
      <c r="F28" s="83">
        <f>SUM(F23:F27)</f>
        <v>500</v>
      </c>
      <c r="G28" s="80"/>
      <c r="H28" s="84"/>
      <c r="I28" s="84"/>
      <c r="J28" s="157"/>
      <c r="K28" s="134"/>
      <c r="L28" s="134"/>
      <c r="M28" s="134"/>
      <c r="N28" s="97"/>
      <c r="O28" s="95"/>
      <c r="P28" s="95"/>
      <c r="Q28" s="98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20"/>
      <c r="AD28" s="6"/>
      <c r="AE28" s="6"/>
      <c r="AF28" s="20"/>
    </row>
    <row r="29" spans="1:35" s="3" customFormat="1" ht="27" customHeight="1">
      <c r="A29" s="76"/>
      <c r="B29" s="77"/>
      <c r="C29" s="81"/>
      <c r="D29" s="79"/>
      <c r="E29" s="79"/>
      <c r="F29" s="79"/>
      <c r="G29" s="80"/>
      <c r="H29" s="84"/>
      <c r="I29" s="84"/>
      <c r="J29" s="157"/>
      <c r="K29" s="134"/>
      <c r="L29" s="134"/>
      <c r="M29" s="134"/>
      <c r="N29" s="97"/>
      <c r="O29" s="95"/>
      <c r="P29" s="95"/>
      <c r="Q29" s="98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20"/>
      <c r="AD29" s="6"/>
      <c r="AE29" s="6"/>
      <c r="AF29" s="20"/>
    </row>
    <row r="30" spans="1:35" s="3" customFormat="1" ht="27" customHeight="1">
      <c r="A30" s="76"/>
      <c r="B30" s="77" t="s">
        <v>321</v>
      </c>
      <c r="C30" s="81"/>
      <c r="D30" s="79"/>
      <c r="E30" s="79"/>
      <c r="F30" s="79"/>
      <c r="G30" s="80"/>
      <c r="H30" s="84"/>
      <c r="I30" s="84"/>
      <c r="J30" s="157"/>
      <c r="K30" s="134"/>
      <c r="L30" s="134"/>
      <c r="M30" s="134"/>
      <c r="N30" s="134"/>
      <c r="O30" s="95"/>
      <c r="P30" s="97"/>
      <c r="Q30" s="98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20"/>
      <c r="AE30" s="6"/>
      <c r="AF30" s="6"/>
      <c r="AG30" s="20"/>
    </row>
    <row r="31" spans="1:35" s="3" customFormat="1" ht="27" customHeight="1">
      <c r="A31" s="76"/>
      <c r="B31" s="77" t="str">
        <f>+B12</f>
        <v>IXTLAHUACAN DEL RIO JALISCO A 15 DE DICIEMBRE DE 2019</v>
      </c>
      <c r="C31" s="81"/>
      <c r="D31" s="79"/>
      <c r="E31" s="79"/>
      <c r="F31" s="79"/>
      <c r="G31" s="80"/>
      <c r="H31" s="84"/>
      <c r="I31" s="84"/>
      <c r="J31" s="157"/>
      <c r="K31" s="134"/>
      <c r="L31" s="134"/>
      <c r="M31" s="134"/>
      <c r="N31" s="134"/>
      <c r="O31" s="95"/>
      <c r="P31" s="97"/>
      <c r="Q31" s="98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20"/>
      <c r="AE31" s="6"/>
      <c r="AF31" s="6"/>
      <c r="AG31" s="20"/>
    </row>
    <row r="32" spans="1:35" s="3" customFormat="1" ht="27" customHeight="1">
      <c r="A32" s="76"/>
      <c r="B32" s="77"/>
      <c r="C32" s="81"/>
      <c r="D32" s="79"/>
      <c r="E32" s="79"/>
      <c r="F32" s="79"/>
      <c r="G32" s="80"/>
      <c r="H32" s="84"/>
      <c r="I32" s="84"/>
      <c r="J32" s="157"/>
      <c r="K32" s="134"/>
      <c r="L32" s="134"/>
      <c r="M32" s="134"/>
      <c r="N32" s="134"/>
      <c r="O32" s="95"/>
      <c r="P32" s="97"/>
      <c r="Q32" s="98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20"/>
      <c r="AE32" s="6"/>
      <c r="AF32" s="6"/>
      <c r="AG32" s="20"/>
    </row>
    <row r="33" spans="1:34" s="3" customFormat="1" ht="27" customHeight="1">
      <c r="A33" s="76"/>
      <c r="B33" s="77"/>
      <c r="C33" s="81"/>
      <c r="D33" s="79"/>
      <c r="E33" s="79"/>
      <c r="F33" s="79"/>
      <c r="G33" s="80"/>
      <c r="H33" s="84"/>
      <c r="I33" s="84"/>
      <c r="J33" s="157"/>
      <c r="K33" s="134"/>
      <c r="L33" s="134"/>
      <c r="M33" s="134"/>
      <c r="N33" s="134"/>
      <c r="O33" s="95"/>
      <c r="P33" s="97"/>
      <c r="Q33" s="98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20"/>
      <c r="AE33" s="6"/>
      <c r="AF33" s="6"/>
      <c r="AG33" s="20"/>
    </row>
    <row r="34" spans="1:34" s="3" customFormat="1" ht="27" customHeight="1">
      <c r="A34" s="31"/>
      <c r="B34" s="10"/>
      <c r="C34" s="6"/>
      <c r="D34" s="20"/>
      <c r="E34" s="20"/>
      <c r="F34" s="20"/>
      <c r="G34" s="7"/>
      <c r="H34" s="84"/>
      <c r="I34" s="84"/>
      <c r="J34" s="157"/>
      <c r="K34" s="134"/>
      <c r="L34" s="134"/>
      <c r="M34" s="134"/>
      <c r="N34" s="134"/>
      <c r="O34" s="97"/>
      <c r="P34" s="134"/>
      <c r="Q34" s="95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20"/>
      <c r="AF34" s="6"/>
      <c r="AG34" s="6"/>
      <c r="AH34" s="20"/>
    </row>
    <row r="35" spans="1:34" s="3" customFormat="1" ht="27" customHeight="1">
      <c r="A35" s="9"/>
      <c r="B35" s="10"/>
      <c r="C35" s="26"/>
      <c r="D35" s="4"/>
      <c r="E35" s="4"/>
      <c r="F35" s="4"/>
      <c r="G35" s="7"/>
      <c r="H35" s="84"/>
      <c r="I35" s="91"/>
      <c r="J35" s="157"/>
      <c r="K35" s="87"/>
      <c r="L35" s="110"/>
      <c r="M35" s="118"/>
      <c r="N35" s="118"/>
      <c r="O35" s="131"/>
      <c r="P35" s="118"/>
      <c r="Q35" s="95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20"/>
      <c r="AF35" s="6"/>
      <c r="AG35" s="6"/>
      <c r="AH35" s="20"/>
    </row>
    <row r="36" spans="1:34" s="3" customFormat="1" ht="27" customHeight="1">
      <c r="A36" s="9"/>
      <c r="B36" s="10"/>
      <c r="C36" s="26"/>
      <c r="D36" s="32"/>
      <c r="E36" s="32"/>
      <c r="F36" s="32"/>
      <c r="G36" s="7"/>
      <c r="H36" s="84"/>
      <c r="I36" s="91"/>
      <c r="J36" s="157"/>
      <c r="K36" s="87"/>
      <c r="L36" s="110"/>
      <c r="M36" s="118"/>
      <c r="N36" s="118"/>
      <c r="O36" s="131"/>
      <c r="P36" s="118"/>
      <c r="Q36" s="95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20"/>
      <c r="AF36" s="6"/>
      <c r="AG36" s="6"/>
      <c r="AH36" s="20"/>
    </row>
    <row r="37" spans="1:34" s="3" customFormat="1" ht="27" customHeight="1">
      <c r="A37" s="9"/>
      <c r="C37" s="30"/>
      <c r="D37" s="4"/>
      <c r="E37" s="4"/>
      <c r="F37" s="4"/>
      <c r="G37" s="7" t="s">
        <v>18</v>
      </c>
      <c r="H37" s="84"/>
      <c r="I37" s="91"/>
      <c r="J37" s="157">
        <f>SUM(H37-I37)</f>
        <v>0</v>
      </c>
      <c r="K37" s="87"/>
      <c r="L37" s="110"/>
      <c r="M37" s="118"/>
      <c r="N37" s="120"/>
      <c r="O37" s="131"/>
      <c r="P37" s="131"/>
      <c r="Q37" s="95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20"/>
      <c r="AF37" s="6"/>
      <c r="AG37" s="6"/>
      <c r="AH37" s="20"/>
    </row>
    <row r="38" spans="1:34" s="3" customFormat="1" ht="27" customHeight="1">
      <c r="A38" s="9"/>
      <c r="C38" s="26"/>
      <c r="D38" s="4"/>
      <c r="E38" s="4"/>
      <c r="F38" s="4"/>
      <c r="G38" s="7" t="s">
        <v>18</v>
      </c>
      <c r="H38" s="84"/>
      <c r="I38" s="91"/>
      <c r="J38" s="157">
        <f>SUM(H38-I38)</f>
        <v>0</v>
      </c>
      <c r="K38" s="87"/>
      <c r="L38" s="109"/>
      <c r="M38" s="95"/>
      <c r="N38" s="117"/>
      <c r="O38" s="131"/>
      <c r="P38" s="131"/>
      <c r="Q38" s="95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20"/>
      <c r="AF38" s="6"/>
      <c r="AG38" s="6"/>
      <c r="AH38" s="20"/>
    </row>
    <row r="39" spans="1:34" s="3" customFormat="1" ht="27" customHeight="1">
      <c r="A39" s="9"/>
      <c r="B39" s="10"/>
      <c r="C39" s="26"/>
      <c r="D39" s="28"/>
      <c r="E39" s="28"/>
      <c r="F39" s="21"/>
      <c r="G39" s="7" t="s">
        <v>18</v>
      </c>
      <c r="H39" s="91"/>
      <c r="I39" s="91"/>
      <c r="J39" s="157"/>
      <c r="K39" s="98"/>
      <c r="L39" s="98"/>
      <c r="M39" s="95"/>
      <c r="N39" s="117"/>
      <c r="O39" s="131"/>
      <c r="P39" s="131"/>
      <c r="Q39" s="9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20"/>
      <c r="AF39" s="6"/>
      <c r="AG39" s="6"/>
      <c r="AH39" s="20"/>
    </row>
    <row r="47" spans="1:34" ht="27" customHeight="1">
      <c r="D47" s="20"/>
      <c r="E47" s="20"/>
      <c r="F47" s="20"/>
    </row>
    <row r="48" spans="1:34" ht="27" customHeight="1">
      <c r="D48" s="20"/>
      <c r="E48" s="20"/>
      <c r="F48" s="20"/>
    </row>
    <row r="49" spans="3:6" ht="27" customHeight="1">
      <c r="D49" s="20"/>
      <c r="E49" s="20"/>
      <c r="F49" s="20"/>
    </row>
    <row r="50" spans="3:6" ht="27" customHeight="1">
      <c r="D50" s="20"/>
      <c r="E50" s="20"/>
      <c r="F50" s="20"/>
    </row>
    <row r="51" spans="3:6" ht="27" customHeight="1">
      <c r="C51" s="62"/>
      <c r="D51" s="63"/>
      <c r="E51" s="63"/>
      <c r="F51" s="63"/>
    </row>
  </sheetData>
  <mergeCells count="8">
    <mergeCell ref="A20:G20"/>
    <mergeCell ref="A21:G21"/>
    <mergeCell ref="A1:G1"/>
    <mergeCell ref="A2:G2"/>
    <mergeCell ref="A3:G3"/>
    <mergeCell ref="A4:G4"/>
    <mergeCell ref="A18:G18"/>
    <mergeCell ref="A19:G19"/>
  </mergeCells>
  <pageMargins left="0.23622047244094491" right="0.23622047244094491" top="0.74803149606299213" bottom="0.74803149606299213" header="0.31496062992125984" footer="0.31496062992125984"/>
  <pageSetup scale="68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6"/>
  <sheetViews>
    <sheetView zoomScale="90" zoomScaleNormal="90" workbookViewId="0">
      <selection activeCell="F5" sqref="F5"/>
    </sheetView>
  </sheetViews>
  <sheetFormatPr baseColWidth="10" defaultRowHeight="27" customHeight="1"/>
  <cols>
    <col min="1" max="1" width="2.42578125" style="9" bestFit="1" customWidth="1"/>
    <col min="2" max="2" width="33.85546875" style="68" customWidth="1"/>
    <col min="3" max="3" width="37" style="124" bestFit="1" customWidth="1"/>
    <col min="4" max="4" width="11.42578125" style="6" bestFit="1" customWidth="1"/>
    <col min="5" max="5" width="9.7109375" style="6" bestFit="1" customWidth="1"/>
    <col min="6" max="6" width="20" style="6" bestFit="1" customWidth="1"/>
    <col min="7" max="7" width="37" style="6" customWidth="1"/>
    <col min="8" max="8" width="11.42578125" style="84"/>
    <col min="9" max="9" width="9.5703125" style="91" customWidth="1"/>
    <col min="10" max="10" width="17.5703125" style="86" customWidth="1"/>
    <col min="11" max="11" width="34.42578125" style="10" customWidth="1"/>
    <col min="12" max="12" width="10.7109375" style="13" customWidth="1"/>
    <col min="13" max="13" width="9.7109375" style="2" customWidth="1"/>
    <col min="14" max="14" width="8" style="1" customWidth="1"/>
    <col min="15" max="15" width="11.28515625" style="3" customWidth="1"/>
    <col min="16" max="16" width="33.140625" style="3" customWidth="1"/>
    <col min="17" max="18" width="11.7109375" style="2" customWidth="1"/>
    <col min="19" max="19" width="6.85546875" style="6" customWidth="1"/>
    <col min="20" max="20" width="13.85546875" style="6" customWidth="1"/>
    <col min="21" max="21" width="11.7109375" style="6" customWidth="1"/>
    <col min="22" max="22" width="43.42578125" style="6" customWidth="1"/>
    <col min="23" max="31" width="11.7109375" style="6" customWidth="1"/>
    <col min="32" max="32" width="11.7109375" style="20" customWidth="1"/>
    <col min="33" max="34" width="11.7109375" style="6" customWidth="1"/>
    <col min="35" max="35" width="11.7109375" style="20" customWidth="1"/>
    <col min="36" max="36" width="11.7109375" style="6" customWidth="1"/>
    <col min="37" max="37" width="2.28515625" style="6" customWidth="1"/>
    <col min="38" max="38" width="15.5703125" style="6" customWidth="1"/>
    <col min="39" max="39" width="11.42578125" style="6" customWidth="1"/>
    <col min="40" max="40" width="11.42578125" style="6"/>
    <col min="41" max="41" width="11.42578125" style="6" customWidth="1"/>
    <col min="42" max="42" width="42.28515625" style="6" customWidth="1"/>
    <col min="43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25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103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s="17" customFormat="1" ht="27" customHeight="1">
      <c r="A7" s="31"/>
      <c r="B7" s="130"/>
      <c r="C7" s="121"/>
      <c r="D7" s="1"/>
      <c r="E7" s="3"/>
      <c r="F7" s="3"/>
      <c r="G7" s="7"/>
      <c r="H7" s="84"/>
      <c r="I7" s="85"/>
      <c r="J7" s="86"/>
      <c r="K7" s="10"/>
      <c r="L7" s="22"/>
      <c r="M7" s="2"/>
      <c r="N7" s="1"/>
      <c r="O7" s="3"/>
      <c r="P7" s="7"/>
      <c r="Q7" s="15"/>
      <c r="R7" s="16"/>
      <c r="AF7" s="18"/>
      <c r="AI7" s="18"/>
    </row>
    <row r="8" spans="1:35" ht="27" customHeight="1">
      <c r="A8" s="31"/>
      <c r="B8" s="71"/>
      <c r="C8" s="60"/>
      <c r="D8" s="20"/>
      <c r="E8" s="20"/>
      <c r="F8" s="20"/>
      <c r="G8" s="24"/>
      <c r="H8" s="88"/>
      <c r="I8" s="89"/>
      <c r="J8" s="90"/>
      <c r="M8" s="11"/>
      <c r="N8" s="9"/>
      <c r="O8" s="12"/>
      <c r="P8" s="12"/>
      <c r="Q8" s="25"/>
      <c r="R8" s="25"/>
      <c r="S8" s="19"/>
      <c r="T8" s="2"/>
      <c r="U8" s="2"/>
      <c r="V8" s="3"/>
    </row>
    <row r="9" spans="1:35" ht="27" customHeight="1">
      <c r="A9" s="31">
        <v>1</v>
      </c>
      <c r="B9" s="68" t="s">
        <v>53</v>
      </c>
      <c r="C9" s="60" t="s">
        <v>26</v>
      </c>
      <c r="D9" s="20">
        <f>H9*3</f>
        <v>1092</v>
      </c>
      <c r="E9" s="20">
        <f>I9*3</f>
        <v>103.92</v>
      </c>
      <c r="F9" s="20">
        <f t="shared" ref="F9:F26" si="0">D9-E9</f>
        <v>988.08</v>
      </c>
      <c r="G9" s="24" t="s">
        <v>18</v>
      </c>
      <c r="H9" s="84">
        <f>364*1</f>
        <v>364</v>
      </c>
      <c r="I9" s="91">
        <f>34.64*1</f>
        <v>34.64</v>
      </c>
      <c r="J9" s="86">
        <f t="shared" ref="J9" si="1">SUM(H9-I9)</f>
        <v>329.36</v>
      </c>
      <c r="M9" s="11"/>
      <c r="N9" s="9"/>
      <c r="O9" s="12"/>
      <c r="P9" s="12"/>
      <c r="Q9" s="25"/>
      <c r="R9" s="25"/>
      <c r="S9" s="19"/>
      <c r="T9" s="2"/>
      <c r="U9" s="2"/>
      <c r="V9" s="3"/>
    </row>
    <row r="10" spans="1:35" s="3" customFormat="1" ht="27" customHeight="1">
      <c r="A10" s="31">
        <v>2</v>
      </c>
      <c r="B10" s="68" t="s">
        <v>58</v>
      </c>
      <c r="C10" s="122" t="s">
        <v>59</v>
      </c>
      <c r="D10" s="20">
        <f>H10*3.75</f>
        <v>916.81</v>
      </c>
      <c r="E10" s="20">
        <f>I10*3.75</f>
        <v>41.81</v>
      </c>
      <c r="F10" s="20">
        <f t="shared" si="0"/>
        <v>875</v>
      </c>
      <c r="G10" s="24"/>
      <c r="H10" s="84">
        <f t="shared" ref="H10:I24" si="2">+O10/30</f>
        <v>244.48266666666666</v>
      </c>
      <c r="I10" s="91">
        <f t="shared" si="2"/>
        <v>11.149333333333335</v>
      </c>
      <c r="J10" s="86">
        <f t="shared" ref="J10:J24" si="3">SUM(H10-I10)</f>
        <v>233.33333333333331</v>
      </c>
      <c r="K10" s="39"/>
      <c r="L10" s="44"/>
      <c r="M10" s="43"/>
      <c r="N10" s="47"/>
      <c r="O10" s="48">
        <v>7334.48</v>
      </c>
      <c r="P10" s="48">
        <v>334.48</v>
      </c>
      <c r="Q10" s="2"/>
      <c r="R10" s="2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0"/>
      <c r="AG10" s="6"/>
      <c r="AH10" s="6"/>
      <c r="AI10" s="20"/>
    </row>
    <row r="11" spans="1:35" s="3" customFormat="1" ht="27" customHeight="1">
      <c r="A11" s="31">
        <v>3</v>
      </c>
      <c r="B11" s="68" t="s">
        <v>113</v>
      </c>
      <c r="C11" s="123" t="s">
        <v>114</v>
      </c>
      <c r="D11" s="4">
        <f>H11*3</f>
        <v>870.51</v>
      </c>
      <c r="E11" s="4">
        <f>I11*3</f>
        <v>70.510000000000005</v>
      </c>
      <c r="F11" s="2">
        <f t="shared" si="0"/>
        <v>800</v>
      </c>
      <c r="G11" s="24"/>
      <c r="H11" s="84">
        <f t="shared" si="2"/>
        <v>290.17</v>
      </c>
      <c r="I11" s="91">
        <f t="shared" si="2"/>
        <v>23.503333333333334</v>
      </c>
      <c r="J11" s="86">
        <f t="shared" si="3"/>
        <v>266.66666666666669</v>
      </c>
      <c r="K11" s="39"/>
      <c r="L11" s="42"/>
      <c r="M11" s="40"/>
      <c r="N11" s="50"/>
      <c r="O11" s="41">
        <v>8705.1</v>
      </c>
      <c r="P11" s="41">
        <v>705.1</v>
      </c>
      <c r="Q11" s="2"/>
      <c r="R11" s="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0"/>
      <c r="AG11" s="6"/>
      <c r="AH11" s="6"/>
      <c r="AI11" s="20"/>
    </row>
    <row r="12" spans="1:35" s="3" customFormat="1" ht="27" customHeight="1">
      <c r="A12" s="31">
        <v>4</v>
      </c>
      <c r="B12" s="68" t="s">
        <v>107</v>
      </c>
      <c r="C12" s="124" t="s">
        <v>108</v>
      </c>
      <c r="D12" s="4">
        <f>H12*2</f>
        <v>580.34</v>
      </c>
      <c r="E12" s="4">
        <f>I12*2</f>
        <v>47.006666666666668</v>
      </c>
      <c r="F12" s="2">
        <f t="shared" si="0"/>
        <v>533.33333333333337</v>
      </c>
      <c r="G12" s="24"/>
      <c r="H12" s="84">
        <f t="shared" si="2"/>
        <v>290.17</v>
      </c>
      <c r="I12" s="91">
        <f t="shared" si="2"/>
        <v>23.503333333333334</v>
      </c>
      <c r="J12" s="86">
        <f t="shared" si="3"/>
        <v>266.66666666666669</v>
      </c>
      <c r="K12" s="49"/>
      <c r="L12" s="43"/>
      <c r="M12" s="42"/>
      <c r="N12" s="64"/>
      <c r="O12" s="41">
        <v>8705.1</v>
      </c>
      <c r="P12" s="41">
        <v>705.1</v>
      </c>
      <c r="Q12" s="2"/>
      <c r="R12" s="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0"/>
      <c r="AG12" s="6"/>
      <c r="AH12" s="6"/>
      <c r="AI12" s="20"/>
    </row>
    <row r="13" spans="1:35" s="3" customFormat="1" ht="27" customHeight="1">
      <c r="A13" s="31">
        <v>5</v>
      </c>
      <c r="B13" s="68" t="s">
        <v>109</v>
      </c>
      <c r="C13" s="124" t="s">
        <v>110</v>
      </c>
      <c r="D13" s="4">
        <f>H13*2</f>
        <v>370.99599999999998</v>
      </c>
      <c r="E13" s="4">
        <f>I13*2</f>
        <v>4.3293333333333335</v>
      </c>
      <c r="F13" s="2">
        <f t="shared" si="0"/>
        <v>366.66666666666663</v>
      </c>
      <c r="G13" s="24"/>
      <c r="H13" s="84">
        <f t="shared" si="2"/>
        <v>185.49799999999999</v>
      </c>
      <c r="I13" s="91">
        <f t="shared" si="2"/>
        <v>2.1646666666666667</v>
      </c>
      <c r="J13" s="86">
        <f t="shared" si="3"/>
        <v>183.33333333333331</v>
      </c>
      <c r="K13" s="49"/>
      <c r="L13" s="44"/>
      <c r="M13" s="45"/>
      <c r="N13" s="46"/>
      <c r="O13" s="41">
        <v>5564.94</v>
      </c>
      <c r="P13" s="41">
        <v>64.94</v>
      </c>
      <c r="Q13" s="2"/>
      <c r="R13" s="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0"/>
      <c r="AG13" s="6"/>
      <c r="AH13" s="6"/>
      <c r="AI13" s="20"/>
    </row>
    <row r="14" spans="1:35" s="3" customFormat="1" ht="27" customHeight="1">
      <c r="A14" s="31">
        <v>6</v>
      </c>
      <c r="B14" s="68" t="s">
        <v>111</v>
      </c>
      <c r="C14" s="124" t="s">
        <v>112</v>
      </c>
      <c r="D14" s="4">
        <f t="shared" ref="D14:E14" si="4">H14*1</f>
        <v>185.49799999999999</v>
      </c>
      <c r="E14" s="4">
        <f t="shared" si="4"/>
        <v>2.1646666666666667</v>
      </c>
      <c r="F14" s="2">
        <f t="shared" si="0"/>
        <v>183.33333333333331</v>
      </c>
      <c r="G14" s="24"/>
      <c r="H14" s="84">
        <f t="shared" si="2"/>
        <v>185.49799999999999</v>
      </c>
      <c r="I14" s="91">
        <f t="shared" si="2"/>
        <v>2.1646666666666667</v>
      </c>
      <c r="J14" s="86">
        <f t="shared" si="3"/>
        <v>183.33333333333331</v>
      </c>
      <c r="K14" s="49"/>
      <c r="L14" s="44"/>
      <c r="M14" s="45"/>
      <c r="N14" s="46"/>
      <c r="O14" s="41">
        <v>5564.94</v>
      </c>
      <c r="P14" s="41">
        <v>64.94</v>
      </c>
      <c r="Q14" s="2"/>
      <c r="R14" s="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0"/>
      <c r="AG14" s="6"/>
      <c r="AH14" s="6"/>
      <c r="AI14" s="20"/>
    </row>
    <row r="15" spans="1:35" s="3" customFormat="1" ht="27" customHeight="1">
      <c r="A15" s="31">
        <v>7</v>
      </c>
      <c r="B15" s="68" t="s">
        <v>62</v>
      </c>
      <c r="C15" s="123" t="s">
        <v>63</v>
      </c>
      <c r="D15" s="4">
        <f>H15*3.25</f>
        <v>680.79808333333335</v>
      </c>
      <c r="E15" s="4">
        <f>I15*3.25</f>
        <v>19.964749999999999</v>
      </c>
      <c r="F15" s="2">
        <f t="shared" si="0"/>
        <v>660.83333333333337</v>
      </c>
      <c r="G15" s="24"/>
      <c r="H15" s="84">
        <f t="shared" si="2"/>
        <v>209.47633333333334</v>
      </c>
      <c r="I15" s="91">
        <f t="shared" si="2"/>
        <v>6.1429999999999998</v>
      </c>
      <c r="J15" s="86">
        <f t="shared" si="3"/>
        <v>203.33333333333334</v>
      </c>
      <c r="K15" s="42"/>
      <c r="L15" s="44"/>
      <c r="M15" s="43"/>
      <c r="N15" s="47"/>
      <c r="O15" s="48">
        <v>6284.29</v>
      </c>
      <c r="P15" s="48">
        <v>184.29</v>
      </c>
      <c r="Q15" s="2"/>
      <c r="R15" s="2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20"/>
      <c r="AG15" s="6"/>
      <c r="AH15" s="6"/>
      <c r="AI15" s="20"/>
    </row>
    <row r="16" spans="1:35" s="3" customFormat="1" ht="27" customHeight="1">
      <c r="A16" s="31">
        <v>8</v>
      </c>
      <c r="B16" s="68" t="s">
        <v>115</v>
      </c>
      <c r="C16" s="123" t="s">
        <v>116</v>
      </c>
      <c r="D16" s="4">
        <f>H16*1.56</f>
        <v>466.50240000000002</v>
      </c>
      <c r="E16" s="4">
        <f>I16*1.56</f>
        <v>38.879276800000014</v>
      </c>
      <c r="F16" s="2">
        <f t="shared" si="0"/>
        <v>427.62312320000001</v>
      </c>
      <c r="G16" s="24"/>
      <c r="H16" s="84">
        <f t="shared" si="2"/>
        <v>299.04000000000002</v>
      </c>
      <c r="I16" s="91">
        <f t="shared" si="2"/>
        <v>24.922613333333342</v>
      </c>
      <c r="J16" s="86">
        <f t="shared" si="3"/>
        <v>274.11738666666668</v>
      </c>
      <c r="K16" s="39"/>
      <c r="L16" s="44"/>
      <c r="M16" s="45"/>
      <c r="N16" s="46"/>
      <c r="O16" s="41">
        <v>8971.2000000000007</v>
      </c>
      <c r="P16" s="41">
        <v>747.67840000000024</v>
      </c>
      <c r="Q16" s="2"/>
      <c r="R16" s="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20"/>
      <c r="AG16" s="6"/>
      <c r="AH16" s="6"/>
      <c r="AI16" s="20"/>
    </row>
    <row r="17" spans="1:35" s="3" customFormat="1" ht="27" customHeight="1">
      <c r="A17" s="31">
        <v>9</v>
      </c>
      <c r="B17" s="68" t="s">
        <v>68</v>
      </c>
      <c r="C17" s="123" t="s">
        <v>69</v>
      </c>
      <c r="D17" s="4">
        <f>H17*3</f>
        <v>733.44799999999998</v>
      </c>
      <c r="E17" s="4">
        <f>I17*3</f>
        <v>33.448000000000008</v>
      </c>
      <c r="F17" s="2">
        <f t="shared" si="0"/>
        <v>700</v>
      </c>
      <c r="G17" s="24"/>
      <c r="H17" s="84">
        <f>+O17/30</f>
        <v>244.48266666666666</v>
      </c>
      <c r="I17" s="91">
        <f t="shared" si="2"/>
        <v>11.149333333333335</v>
      </c>
      <c r="J17" s="86">
        <f t="shared" si="3"/>
        <v>233.33333333333331</v>
      </c>
      <c r="K17" s="39"/>
      <c r="L17" s="44"/>
      <c r="M17" s="45"/>
      <c r="N17" s="46"/>
      <c r="O17" s="41">
        <v>7334.48</v>
      </c>
      <c r="P17" s="41">
        <v>334.48</v>
      </c>
      <c r="Q17" s="2"/>
      <c r="R17" s="2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20"/>
      <c r="AG17" s="6"/>
      <c r="AH17" s="6"/>
      <c r="AI17" s="20"/>
    </row>
    <row r="18" spans="1:35" s="3" customFormat="1" ht="27" customHeight="1">
      <c r="A18" s="31">
        <v>10</v>
      </c>
      <c r="B18" s="68" t="s">
        <v>76</v>
      </c>
      <c r="C18" s="124" t="s">
        <v>77</v>
      </c>
      <c r="D18" s="4">
        <f>H18*4</f>
        <v>1319.4106666666667</v>
      </c>
      <c r="E18" s="4">
        <f>I18*4</f>
        <v>119.41066666666667</v>
      </c>
      <c r="F18" s="2">
        <f t="shared" si="0"/>
        <v>1200</v>
      </c>
      <c r="G18" s="24"/>
      <c r="H18" s="84">
        <f t="shared" si="2"/>
        <v>329.85266666666666</v>
      </c>
      <c r="I18" s="91">
        <f t="shared" si="2"/>
        <v>29.852666666666668</v>
      </c>
      <c r="J18" s="86">
        <f t="shared" si="3"/>
        <v>300</v>
      </c>
      <c r="K18" s="39"/>
      <c r="L18" s="42"/>
      <c r="M18" s="40"/>
      <c r="N18" s="50"/>
      <c r="O18" s="38">
        <v>9895.58</v>
      </c>
      <c r="P18" s="38">
        <v>895.58</v>
      </c>
      <c r="Q18" s="2"/>
      <c r="R18" s="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20"/>
      <c r="AG18" s="6"/>
      <c r="AH18" s="6"/>
      <c r="AI18" s="20"/>
    </row>
    <row r="19" spans="1:35" s="3" customFormat="1" ht="27" customHeight="1">
      <c r="A19" s="31">
        <v>11</v>
      </c>
      <c r="B19" s="68" t="s">
        <v>78</v>
      </c>
      <c r="C19" s="124" t="s">
        <v>79</v>
      </c>
      <c r="D19" s="4">
        <f t="shared" ref="D19:E22" si="5">H19*2.5</f>
        <v>510.49833333333333</v>
      </c>
      <c r="E19" s="4">
        <f t="shared" si="5"/>
        <v>10.498333333333335</v>
      </c>
      <c r="F19" s="2">
        <f t="shared" si="0"/>
        <v>500</v>
      </c>
      <c r="G19" s="24"/>
      <c r="H19" s="84">
        <f t="shared" si="2"/>
        <v>204.19933333333333</v>
      </c>
      <c r="I19" s="91">
        <f t="shared" si="2"/>
        <v>4.1993333333333336</v>
      </c>
      <c r="J19" s="86">
        <f t="shared" si="3"/>
        <v>200</v>
      </c>
      <c r="K19" s="49"/>
      <c r="L19" s="44"/>
      <c r="M19" s="45"/>
      <c r="N19" s="46"/>
      <c r="O19" s="41">
        <v>6125.98</v>
      </c>
      <c r="P19" s="41">
        <v>125.98</v>
      </c>
      <c r="Q19" s="2"/>
      <c r="R19" s="2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20"/>
      <c r="AG19" s="6"/>
      <c r="AH19" s="6"/>
      <c r="AI19" s="20"/>
    </row>
    <row r="20" spans="1:35" s="3" customFormat="1" ht="27" customHeight="1">
      <c r="A20" s="31">
        <v>12</v>
      </c>
      <c r="B20" s="68" t="s">
        <v>117</v>
      </c>
      <c r="C20" s="123" t="s">
        <v>118</v>
      </c>
      <c r="D20" s="4">
        <f t="shared" si="5"/>
        <v>611.20666666666671</v>
      </c>
      <c r="E20" s="4">
        <f t="shared" si="5"/>
        <v>27.873333333333335</v>
      </c>
      <c r="F20" s="2">
        <f t="shared" si="0"/>
        <v>583.33333333333337</v>
      </c>
      <c r="G20" s="24"/>
      <c r="H20" s="84">
        <f t="shared" si="2"/>
        <v>244.48266666666666</v>
      </c>
      <c r="I20" s="91">
        <f t="shared" si="2"/>
        <v>11.149333333333335</v>
      </c>
      <c r="J20" s="86">
        <f t="shared" si="3"/>
        <v>233.33333333333331</v>
      </c>
      <c r="K20" s="52"/>
      <c r="L20" s="44"/>
      <c r="M20" s="40"/>
      <c r="N20" s="50"/>
      <c r="O20" s="41">
        <v>7334.48</v>
      </c>
      <c r="P20" s="41">
        <v>334.48</v>
      </c>
      <c r="Q20" s="2"/>
      <c r="R20" s="2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20"/>
      <c r="AG20" s="6"/>
      <c r="AH20" s="6"/>
      <c r="AI20" s="20"/>
    </row>
    <row r="21" spans="1:35" s="3" customFormat="1" ht="27" customHeight="1">
      <c r="A21" s="31">
        <v>13</v>
      </c>
      <c r="B21" s="68" t="s">
        <v>119</v>
      </c>
      <c r="C21" s="123" t="s">
        <v>120</v>
      </c>
      <c r="D21" s="4">
        <f t="shared" si="5"/>
        <v>611.20666666666671</v>
      </c>
      <c r="E21" s="4">
        <f t="shared" si="5"/>
        <v>27.873333333333335</v>
      </c>
      <c r="F21" s="2">
        <f t="shared" si="0"/>
        <v>583.33333333333337</v>
      </c>
      <c r="G21" s="24"/>
      <c r="H21" s="84">
        <f t="shared" si="2"/>
        <v>244.48266666666666</v>
      </c>
      <c r="I21" s="91">
        <f t="shared" si="2"/>
        <v>11.149333333333335</v>
      </c>
      <c r="J21" s="86">
        <f t="shared" si="3"/>
        <v>233.33333333333331</v>
      </c>
      <c r="K21" s="49"/>
      <c r="L21" s="44"/>
      <c r="M21" s="45"/>
      <c r="N21" s="46"/>
      <c r="O21" s="55">
        <v>7334.48</v>
      </c>
      <c r="P21" s="56">
        <v>334.48</v>
      </c>
      <c r="Q21" s="2"/>
      <c r="R21" s="2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20"/>
      <c r="AG21" s="6"/>
      <c r="AH21" s="6"/>
      <c r="AI21" s="20"/>
    </row>
    <row r="22" spans="1:35" s="3" customFormat="1" ht="27" customHeight="1">
      <c r="A22" s="31">
        <v>14</v>
      </c>
      <c r="B22" s="68" t="s">
        <v>85</v>
      </c>
      <c r="C22" s="124" t="s">
        <v>86</v>
      </c>
      <c r="D22" s="4">
        <f t="shared" si="5"/>
        <v>1240.52</v>
      </c>
      <c r="E22" s="4">
        <f t="shared" si="5"/>
        <v>157.1875</v>
      </c>
      <c r="F22" s="2">
        <f t="shared" si="0"/>
        <v>1083.3325</v>
      </c>
      <c r="G22" s="24"/>
      <c r="H22" s="84">
        <f t="shared" si="2"/>
        <v>496.20799999999997</v>
      </c>
      <c r="I22" s="91">
        <f t="shared" si="2"/>
        <v>62.875</v>
      </c>
      <c r="J22" s="86">
        <f t="shared" si="3"/>
        <v>433.33299999999997</v>
      </c>
      <c r="K22" s="52"/>
      <c r="L22" s="42"/>
      <c r="M22" s="53"/>
      <c r="N22" s="54"/>
      <c r="O22" s="41">
        <v>14886.24</v>
      </c>
      <c r="P22" s="41">
        <v>1886.25</v>
      </c>
      <c r="Q22" s="2"/>
      <c r="R22" s="2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20"/>
      <c r="AG22" s="6"/>
      <c r="AH22" s="6"/>
      <c r="AI22" s="20"/>
    </row>
    <row r="23" spans="1:35" s="3" customFormat="1" ht="27" customHeight="1">
      <c r="A23" s="31">
        <v>15</v>
      </c>
      <c r="B23" s="68" t="s">
        <v>121</v>
      </c>
      <c r="C23" s="123" t="s">
        <v>122</v>
      </c>
      <c r="D23" s="4">
        <f>H23*4</f>
        <v>1645.7346666666667</v>
      </c>
      <c r="E23" s="4">
        <f>I23*4</f>
        <v>179.06800000000001</v>
      </c>
      <c r="F23" s="2">
        <f t="shared" si="0"/>
        <v>1466.6666666666667</v>
      </c>
      <c r="G23" s="24"/>
      <c r="H23" s="84">
        <f t="shared" si="2"/>
        <v>411.43366666666668</v>
      </c>
      <c r="I23" s="91">
        <f t="shared" si="2"/>
        <v>44.767000000000003</v>
      </c>
      <c r="J23" s="86">
        <f t="shared" si="3"/>
        <v>366.66666666666669</v>
      </c>
      <c r="K23" s="52"/>
      <c r="L23" s="42"/>
      <c r="M23" s="53"/>
      <c r="N23" s="54"/>
      <c r="O23" s="41">
        <v>12343.01</v>
      </c>
      <c r="P23" s="41">
        <v>1343.01</v>
      </c>
      <c r="Q23" s="2"/>
      <c r="R23" s="2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20"/>
      <c r="AG23" s="6"/>
      <c r="AH23" s="6"/>
      <c r="AI23" s="20"/>
    </row>
    <row r="24" spans="1:35" s="3" customFormat="1" ht="27" customHeight="1">
      <c r="A24" s="31">
        <v>16</v>
      </c>
      <c r="B24" s="68" t="s">
        <v>123</v>
      </c>
      <c r="C24" s="124" t="s">
        <v>124</v>
      </c>
      <c r="D24" s="4">
        <f>H24*2.5</f>
        <v>611.20666666666671</v>
      </c>
      <c r="E24" s="4">
        <f>I24*2.5</f>
        <v>27.873333333333335</v>
      </c>
      <c r="F24" s="2">
        <f t="shared" si="0"/>
        <v>583.33333333333337</v>
      </c>
      <c r="G24" s="24"/>
      <c r="H24" s="84">
        <f t="shared" si="2"/>
        <v>244.48266666666666</v>
      </c>
      <c r="I24" s="91">
        <f t="shared" si="2"/>
        <v>11.149333333333335</v>
      </c>
      <c r="J24" s="86">
        <f t="shared" si="3"/>
        <v>233.33333333333331</v>
      </c>
      <c r="K24" s="65"/>
      <c r="L24" s="42"/>
      <c r="M24" s="40"/>
      <c r="N24" s="50"/>
      <c r="O24" s="41">
        <v>7334.48</v>
      </c>
      <c r="P24" s="41">
        <v>334.48</v>
      </c>
      <c r="Q24" s="2"/>
      <c r="R24" s="2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20"/>
      <c r="AG24" s="6"/>
      <c r="AH24" s="6"/>
      <c r="AI24" s="20"/>
    </row>
    <row r="25" spans="1:35" s="3" customFormat="1" ht="27" customHeight="1">
      <c r="A25" s="31">
        <v>17</v>
      </c>
      <c r="B25" s="68" t="s">
        <v>17</v>
      </c>
      <c r="C25" s="124" t="s">
        <v>19</v>
      </c>
      <c r="D25" s="20">
        <f>3366.57</f>
        <v>3366.57</v>
      </c>
      <c r="E25" s="20">
        <f>116.57</f>
        <v>116.57</v>
      </c>
      <c r="F25" s="20">
        <f t="shared" si="0"/>
        <v>3250</v>
      </c>
      <c r="G25" s="24" t="s">
        <v>18</v>
      </c>
      <c r="H25" s="41">
        <v>224.43</v>
      </c>
      <c r="I25" s="41">
        <v>7.77</v>
      </c>
      <c r="J25" s="92">
        <f>SUM(H25-I25)</f>
        <v>216.66</v>
      </c>
      <c r="K25" s="10"/>
      <c r="L25" s="14"/>
      <c r="M25" s="4"/>
      <c r="N25" s="4"/>
      <c r="O25" s="4"/>
      <c r="Q25" s="2"/>
      <c r="R25" s="2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20"/>
      <c r="AG25" s="6"/>
      <c r="AH25" s="6"/>
      <c r="AI25" s="20"/>
    </row>
    <row r="26" spans="1:35" s="3" customFormat="1" ht="27" customHeight="1">
      <c r="A26" s="31">
        <v>18</v>
      </c>
      <c r="B26" s="68" t="s">
        <v>92</v>
      </c>
      <c r="C26" s="124" t="s">
        <v>93</v>
      </c>
      <c r="D26" s="4">
        <f>H26*2.5</f>
        <v>807.00166666666678</v>
      </c>
      <c r="E26" s="4">
        <f>I26*2.5</f>
        <v>71.81</v>
      </c>
      <c r="F26" s="20">
        <f t="shared" si="0"/>
        <v>735.19166666666683</v>
      </c>
      <c r="G26" s="24"/>
      <c r="H26" s="84">
        <f>+O26/30</f>
        <v>322.8006666666667</v>
      </c>
      <c r="I26" s="91">
        <f t="shared" ref="I26" si="6">+P26/30</f>
        <v>28.724</v>
      </c>
      <c r="J26" s="86">
        <f t="shared" ref="J26" si="7">SUM(H26-I26)</f>
        <v>294.07666666666671</v>
      </c>
      <c r="K26" s="52"/>
      <c r="L26" s="42"/>
      <c r="M26" s="53"/>
      <c r="N26" s="54"/>
      <c r="O26" s="41">
        <f>4842.01*2</f>
        <v>9684.02</v>
      </c>
      <c r="P26" s="41">
        <f>430.86*2</f>
        <v>861.72</v>
      </c>
      <c r="Q26" s="2"/>
      <c r="R26" s="2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20"/>
      <c r="AG26" s="6"/>
      <c r="AH26" s="6"/>
      <c r="AI26" s="20"/>
    </row>
    <row r="28" spans="1:35" s="3" customFormat="1" ht="27" customHeight="1">
      <c r="A28" s="9"/>
      <c r="B28" s="68"/>
      <c r="C28" s="126"/>
      <c r="D28" s="4"/>
      <c r="E28" s="4"/>
      <c r="F28" s="4"/>
      <c r="G28" s="24"/>
      <c r="H28" s="84"/>
      <c r="I28" s="91"/>
      <c r="J28" s="86"/>
      <c r="K28" s="10"/>
      <c r="L28" s="14"/>
      <c r="M28" s="4"/>
      <c r="N28" s="4"/>
      <c r="O28" s="4"/>
      <c r="Q28" s="2"/>
      <c r="R28" s="2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20"/>
      <c r="AG28" s="6"/>
      <c r="AH28" s="6"/>
      <c r="AI28" s="20"/>
    </row>
    <row r="29" spans="1:35" s="3" customFormat="1" ht="27" customHeight="1">
      <c r="A29" s="9"/>
      <c r="B29" s="68"/>
      <c r="C29" s="126"/>
      <c r="D29" s="32">
        <f>SUM(D8:D28)</f>
        <v>16620.257816666668</v>
      </c>
      <c r="E29" s="32">
        <f>SUM(E8:E28)</f>
        <v>1100.1971934666667</v>
      </c>
      <c r="F29" s="32">
        <f>SUM(F8:F28)</f>
        <v>15520.060623200001</v>
      </c>
      <c r="G29" s="24"/>
      <c r="H29" s="84"/>
      <c r="I29" s="91"/>
      <c r="J29" s="86"/>
      <c r="K29" s="10"/>
      <c r="L29" s="14"/>
      <c r="M29" s="4"/>
      <c r="N29" s="4"/>
      <c r="O29" s="4"/>
      <c r="Q29" s="2"/>
      <c r="R29" s="2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20"/>
      <c r="AG29" s="6"/>
      <c r="AH29" s="6"/>
      <c r="AI29" s="20"/>
    </row>
    <row r="30" spans="1:35" s="3" customFormat="1" ht="27" customHeight="1">
      <c r="A30" s="9"/>
      <c r="B30" s="68" t="s">
        <v>125</v>
      </c>
      <c r="C30" s="124"/>
      <c r="D30" s="4"/>
      <c r="E30" s="4"/>
      <c r="F30" s="4"/>
      <c r="G30" s="24" t="s">
        <v>18</v>
      </c>
      <c r="H30" s="84"/>
      <c r="I30" s="91"/>
      <c r="J30" s="86">
        <f>SUM(H30-I30)</f>
        <v>0</v>
      </c>
      <c r="K30" s="10"/>
      <c r="L30" s="14"/>
      <c r="M30" s="4"/>
      <c r="N30" s="5"/>
      <c r="Q30" s="2"/>
      <c r="R30" s="2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20"/>
      <c r="AG30" s="6"/>
      <c r="AH30" s="6"/>
      <c r="AI30" s="20"/>
    </row>
    <row r="31" spans="1:35" s="3" customFormat="1" ht="27" customHeight="1">
      <c r="A31" s="9"/>
      <c r="B31" s="68" t="s">
        <v>106</v>
      </c>
      <c r="C31" s="126"/>
      <c r="D31" s="4"/>
      <c r="E31" s="4"/>
      <c r="F31" s="4"/>
      <c r="G31" s="24" t="s">
        <v>18</v>
      </c>
      <c r="H31" s="84"/>
      <c r="I31" s="91"/>
      <c r="J31" s="86">
        <f>SUM(H31-I31)</f>
        <v>0</v>
      </c>
      <c r="K31" s="10"/>
      <c r="L31" s="13"/>
      <c r="M31" s="2"/>
      <c r="N31" s="1"/>
      <c r="Q31" s="2"/>
      <c r="R31" s="2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20"/>
      <c r="AG31" s="6"/>
      <c r="AH31" s="6"/>
      <c r="AI31" s="20"/>
    </row>
    <row r="32" spans="1:35" s="3" customFormat="1" ht="27" customHeight="1">
      <c r="A32" s="9"/>
      <c r="B32" s="68"/>
      <c r="C32" s="126"/>
      <c r="D32" s="28"/>
      <c r="E32" s="28"/>
      <c r="F32" s="21"/>
      <c r="G32" s="24" t="s">
        <v>18</v>
      </c>
      <c r="H32" s="91"/>
      <c r="I32" s="91"/>
      <c r="J32" s="86"/>
      <c r="K32" s="6"/>
      <c r="L32" s="6"/>
      <c r="M32" s="2"/>
      <c r="N32" s="1"/>
      <c r="Q32" s="2"/>
      <c r="R32" s="2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20"/>
      <c r="AG32" s="6"/>
      <c r="AH32" s="6"/>
      <c r="AI32" s="20"/>
    </row>
    <row r="34" spans="1:7" ht="45" customHeight="1">
      <c r="A34" s="250" t="s">
        <v>24</v>
      </c>
      <c r="B34" s="251"/>
    </row>
    <row r="35" spans="1:7" ht="45" customHeight="1">
      <c r="A35" s="250" t="s">
        <v>102</v>
      </c>
      <c r="B35" s="251"/>
    </row>
    <row r="36" spans="1:7" ht="45" customHeight="1">
      <c r="A36" s="250" t="s">
        <v>103</v>
      </c>
      <c r="B36" s="251"/>
    </row>
    <row r="37" spans="1:7" ht="45" customHeight="1">
      <c r="A37" s="250" t="s">
        <v>105</v>
      </c>
      <c r="B37" s="251"/>
    </row>
    <row r="39" spans="1:7" ht="27" customHeight="1">
      <c r="B39" s="68" t="s">
        <v>0</v>
      </c>
      <c r="C39" s="124" t="s">
        <v>6</v>
      </c>
      <c r="D39" s="6" t="s">
        <v>15</v>
      </c>
      <c r="E39" s="6" t="s">
        <v>10</v>
      </c>
      <c r="F39" s="6" t="s">
        <v>16</v>
      </c>
      <c r="G39" s="6" t="s">
        <v>1</v>
      </c>
    </row>
    <row r="40" spans="1:7" ht="27" customHeight="1">
      <c r="C40" s="124" t="s">
        <v>90</v>
      </c>
      <c r="D40" s="20">
        <v>391.47533333333337</v>
      </c>
      <c r="E40" s="20">
        <v>40.808666666666667</v>
      </c>
      <c r="F40" s="20">
        <v>350.66666666666669</v>
      </c>
    </row>
    <row r="41" spans="1:7" ht="27" customHeight="1">
      <c r="C41" s="124" t="s">
        <v>90</v>
      </c>
      <c r="D41" s="20">
        <v>391.47533333333337</v>
      </c>
      <c r="E41" s="20">
        <v>40.808666666666667</v>
      </c>
      <c r="F41" s="20">
        <v>350.66666666666669</v>
      </c>
    </row>
    <row r="42" spans="1:7" ht="27" customHeight="1">
      <c r="D42" s="20"/>
      <c r="E42" s="20"/>
      <c r="F42" s="20"/>
    </row>
    <row r="43" spans="1:7" ht="27" customHeight="1">
      <c r="D43" s="20"/>
      <c r="E43" s="20"/>
      <c r="F43" s="20"/>
    </row>
    <row r="44" spans="1:7" ht="27" customHeight="1">
      <c r="C44" s="129" t="s">
        <v>101</v>
      </c>
      <c r="D44" s="63">
        <v>782.95066666666673</v>
      </c>
      <c r="E44" s="63">
        <v>81.617333333333335</v>
      </c>
      <c r="F44" s="63">
        <v>701.33333333333337</v>
      </c>
    </row>
    <row r="46" spans="1:7" ht="27" customHeight="1">
      <c r="B46" s="68" t="s">
        <v>104</v>
      </c>
    </row>
  </sheetData>
  <mergeCells count="8">
    <mergeCell ref="A35:B35"/>
    <mergeCell ref="A36:B36"/>
    <mergeCell ref="A37:B37"/>
    <mergeCell ref="A1:G1"/>
    <mergeCell ref="A2:G2"/>
    <mergeCell ref="A3:G3"/>
    <mergeCell ref="A4:G4"/>
    <mergeCell ref="A34:B34"/>
  </mergeCells>
  <pageMargins left="0.23622047244094491" right="0.23622047244094491" top="0.74803149606299213" bottom="0.74803149606299213" header="0.31496062992125984" footer="0.31496062992125984"/>
  <pageSetup scale="7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zoomScale="90" zoomScaleNormal="90" workbookViewId="0">
      <selection activeCell="C39" sqref="C39"/>
    </sheetView>
  </sheetViews>
  <sheetFormatPr baseColWidth="10" defaultRowHeight="27" customHeight="1"/>
  <cols>
    <col min="1" max="1" width="2.42578125" style="9" bestFit="1" customWidth="1"/>
    <col min="2" max="2" width="33.85546875" style="10" customWidth="1"/>
    <col min="3" max="3" width="37" style="124" bestFit="1" customWidth="1"/>
    <col min="4" max="4" width="11.42578125" style="6" bestFit="1" customWidth="1"/>
    <col min="5" max="5" width="9.7109375" style="6" bestFit="1" customWidth="1"/>
    <col min="6" max="6" width="20" style="6" bestFit="1" customWidth="1"/>
    <col min="7" max="7" width="37" style="6" customWidth="1"/>
    <col min="8" max="8" width="11.42578125" style="84"/>
    <col min="9" max="9" width="9.5703125" style="91" customWidth="1"/>
    <col min="10" max="10" width="17.5703125" style="86" customWidth="1"/>
    <col min="11" max="11" width="34.42578125" style="87" customWidth="1"/>
    <col min="12" max="12" width="10.7109375" style="13" customWidth="1"/>
    <col min="13" max="13" width="9.7109375" style="2" customWidth="1"/>
    <col min="14" max="14" width="8" style="1" customWidth="1"/>
    <col min="15" max="15" width="11.28515625" style="3" customWidth="1"/>
    <col min="16" max="16" width="33.140625" style="3" customWidth="1"/>
    <col min="17" max="18" width="11.7109375" style="2" customWidth="1"/>
    <col min="19" max="19" width="6.85546875" style="6" customWidth="1"/>
    <col min="20" max="20" width="13.85546875" style="6" customWidth="1"/>
    <col min="21" max="21" width="11.7109375" style="6" customWidth="1"/>
    <col min="22" max="22" width="43.42578125" style="6" customWidth="1"/>
    <col min="23" max="31" width="11.7109375" style="6" customWidth="1"/>
    <col min="32" max="32" width="11.7109375" style="20" customWidth="1"/>
    <col min="33" max="34" width="11.7109375" style="6" customWidth="1"/>
    <col min="35" max="35" width="11.7109375" style="20" customWidth="1"/>
    <col min="36" max="36" width="11.7109375" style="6" customWidth="1"/>
    <col min="37" max="37" width="2.28515625" style="6" customWidth="1"/>
    <col min="38" max="38" width="15.5703125" style="6" customWidth="1"/>
    <col min="39" max="39" width="11.42578125" style="6" customWidth="1"/>
    <col min="40" max="40" width="11.42578125" style="6"/>
    <col min="41" max="41" width="11.42578125" style="6" customWidth="1"/>
    <col min="42" max="42" width="42.28515625" style="6" customWidth="1"/>
    <col min="43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25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96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s="17" customFormat="1" ht="27" customHeight="1">
      <c r="A7" s="31"/>
      <c r="B7" s="23"/>
      <c r="C7" s="121"/>
      <c r="D7" s="1"/>
      <c r="E7" s="3"/>
      <c r="F7" s="3"/>
      <c r="G7" s="7"/>
      <c r="H7" s="84"/>
      <c r="I7" s="85"/>
      <c r="J7" s="86"/>
      <c r="K7" s="87"/>
      <c r="L7" s="22"/>
      <c r="M7" s="2"/>
      <c r="N7" s="1"/>
      <c r="O7" s="3"/>
      <c r="P7" s="7"/>
      <c r="Q7" s="15"/>
      <c r="R7" s="16"/>
      <c r="AF7" s="18"/>
      <c r="AI7" s="18"/>
    </row>
    <row r="8" spans="1:35" ht="27" customHeight="1">
      <c r="A8" s="31"/>
      <c r="B8" s="6"/>
      <c r="C8" s="60"/>
      <c r="D8" s="20"/>
      <c r="E8" s="20"/>
      <c r="F8" s="20"/>
      <c r="G8" s="24"/>
      <c r="H8" s="88"/>
      <c r="I8" s="89"/>
      <c r="J8" s="90"/>
      <c r="M8" s="11"/>
      <c r="N8" s="9"/>
      <c r="O8" s="12"/>
      <c r="P8" s="12"/>
      <c r="Q8" s="25"/>
      <c r="R8" s="25"/>
      <c r="S8" s="19"/>
      <c r="T8" s="2"/>
      <c r="U8" s="2"/>
      <c r="V8" s="3"/>
    </row>
    <row r="9" spans="1:35" ht="27" customHeight="1">
      <c r="A9" s="31">
        <v>1</v>
      </c>
      <c r="B9" s="10" t="s">
        <v>53</v>
      </c>
      <c r="C9" s="60" t="s">
        <v>26</v>
      </c>
      <c r="D9" s="20">
        <f>H9</f>
        <v>364</v>
      </c>
      <c r="E9" s="20">
        <f>I9</f>
        <v>34.64</v>
      </c>
      <c r="F9" s="20">
        <f t="shared" ref="F9:F20" si="0">D9-E9</f>
        <v>329.36</v>
      </c>
      <c r="G9" s="24" t="s">
        <v>18</v>
      </c>
      <c r="H9" s="84">
        <f>364*1</f>
        <v>364</v>
      </c>
      <c r="I9" s="91">
        <f>34.64*1</f>
        <v>34.64</v>
      </c>
      <c r="J9" s="86">
        <f t="shared" ref="J9:J10" si="1">SUM(H9-I9)</f>
        <v>329.36</v>
      </c>
      <c r="M9" s="11"/>
      <c r="N9" s="9"/>
      <c r="O9" s="12"/>
      <c r="P9" s="12"/>
      <c r="Q9" s="25"/>
      <c r="R9" s="25"/>
      <c r="S9" s="19"/>
      <c r="T9" s="2"/>
      <c r="U9" s="2"/>
      <c r="V9" s="3"/>
    </row>
    <row r="10" spans="1:35" ht="27" customHeight="1">
      <c r="A10" s="31">
        <v>2</v>
      </c>
      <c r="B10" s="10" t="s">
        <v>56</v>
      </c>
      <c r="C10" s="122" t="s">
        <v>57</v>
      </c>
      <c r="D10" s="20">
        <f>H10*22</f>
        <v>7454.1353333333327</v>
      </c>
      <c r="E10" s="20">
        <f>I10*22</f>
        <v>690.22066666666672</v>
      </c>
      <c r="F10" s="20">
        <f t="shared" si="0"/>
        <v>6763.9146666666657</v>
      </c>
      <c r="G10" s="24"/>
      <c r="H10" s="84">
        <f>+O10/30</f>
        <v>338.8243333333333</v>
      </c>
      <c r="I10" s="91">
        <f>+P10/30</f>
        <v>31.373666666666669</v>
      </c>
      <c r="J10" s="86">
        <f t="shared" si="1"/>
        <v>307.45066666666662</v>
      </c>
      <c r="K10" s="111"/>
      <c r="L10" s="44"/>
      <c r="M10" s="45"/>
      <c r="N10" s="46"/>
      <c r="O10" s="41">
        <v>10164.73</v>
      </c>
      <c r="P10" s="41">
        <v>941.21</v>
      </c>
      <c r="Q10" s="25"/>
      <c r="R10" s="25"/>
      <c r="S10" s="19"/>
      <c r="T10" s="2"/>
      <c r="U10" s="2"/>
      <c r="V10" s="3"/>
    </row>
    <row r="11" spans="1:35" s="3" customFormat="1" ht="27" customHeight="1">
      <c r="A11" s="31">
        <v>3</v>
      </c>
      <c r="B11" s="10" t="s">
        <v>36</v>
      </c>
      <c r="C11" s="124" t="s">
        <v>37</v>
      </c>
      <c r="D11" s="28">
        <f>H11*3.06635</f>
        <v>1110.2108579333333</v>
      </c>
      <c r="E11" s="28">
        <f>I11*3.06635</f>
        <v>110.21484016666668</v>
      </c>
      <c r="F11" s="21">
        <f t="shared" si="0"/>
        <v>999.99601776666657</v>
      </c>
      <c r="G11" s="24" t="s">
        <v>18</v>
      </c>
      <c r="H11" s="84">
        <f>5430.94/15</f>
        <v>362.06266666666664</v>
      </c>
      <c r="I11" s="91">
        <f>539.15/15</f>
        <v>35.943333333333335</v>
      </c>
      <c r="J11" s="86">
        <f t="shared" ref="J11:J13" si="2">SUM(H11-I11)</f>
        <v>326.11933333333332</v>
      </c>
      <c r="K11" s="96">
        <f>1000/J11</f>
        <v>3.0663622109698085</v>
      </c>
      <c r="L11" s="6"/>
      <c r="M11" s="2"/>
      <c r="N11" s="1"/>
      <c r="Q11" s="2"/>
      <c r="R11" s="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0"/>
      <c r="AG11" s="6"/>
      <c r="AH11" s="6"/>
      <c r="AI11" s="20"/>
    </row>
    <row r="12" spans="1:35" s="3" customFormat="1" ht="27" customHeight="1">
      <c r="A12" s="31">
        <v>4</v>
      </c>
      <c r="B12" s="10" t="s">
        <v>38</v>
      </c>
      <c r="C12" s="123" t="s">
        <v>37</v>
      </c>
      <c r="D12" s="20">
        <f>H12*6.28773</f>
        <v>2214.9660716400003</v>
      </c>
      <c r="E12" s="20">
        <f>I12*6.28773</f>
        <v>214.96491324000002</v>
      </c>
      <c r="F12" s="2">
        <f t="shared" si="0"/>
        <v>2000.0011584000003</v>
      </c>
      <c r="G12" s="24" t="s">
        <v>18</v>
      </c>
      <c r="H12" s="84">
        <f>5284.02/15</f>
        <v>352.26800000000003</v>
      </c>
      <c r="I12" s="91">
        <f>512.82/15</f>
        <v>34.188000000000002</v>
      </c>
      <c r="J12" s="86">
        <f t="shared" si="2"/>
        <v>318.08000000000004</v>
      </c>
      <c r="K12" s="93">
        <f>2000/J12</f>
        <v>6.2877263581488929</v>
      </c>
      <c r="L12" s="6"/>
      <c r="M12" s="2"/>
      <c r="N12" s="1"/>
      <c r="Q12" s="2"/>
      <c r="R12" s="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0"/>
      <c r="AG12" s="6"/>
      <c r="AH12" s="6"/>
      <c r="AI12" s="20"/>
    </row>
    <row r="13" spans="1:35" s="3" customFormat="1" ht="27" customHeight="1">
      <c r="A13" s="31">
        <v>5</v>
      </c>
      <c r="B13" s="27" t="s">
        <v>39</v>
      </c>
      <c r="C13" s="124" t="s">
        <v>40</v>
      </c>
      <c r="D13" s="20">
        <f>H13*3.77751</f>
        <v>1104.1208428799998</v>
      </c>
      <c r="E13" s="20">
        <f>I13*3.77751</f>
        <v>104.12328563999999</v>
      </c>
      <c r="F13" s="20">
        <f t="shared" si="0"/>
        <v>999.99755723999988</v>
      </c>
      <c r="G13" s="24" t="s">
        <v>18</v>
      </c>
      <c r="H13" s="84">
        <f>4384.32/15</f>
        <v>292.28799999999995</v>
      </c>
      <c r="I13" s="91">
        <f>413.46/15</f>
        <v>27.564</v>
      </c>
      <c r="J13" s="86">
        <f t="shared" si="2"/>
        <v>264.72399999999993</v>
      </c>
      <c r="K13" s="96">
        <f>1000/J13</f>
        <v>3.7775192275728693</v>
      </c>
      <c r="L13" s="6"/>
      <c r="M13" s="2"/>
      <c r="N13" s="1"/>
      <c r="Q13" s="2"/>
      <c r="R13" s="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0"/>
      <c r="AG13" s="6"/>
      <c r="AH13" s="6"/>
      <c r="AI13" s="20"/>
    </row>
    <row r="14" spans="1:35" s="3" customFormat="1" ht="27" customHeight="1">
      <c r="A14" s="31">
        <v>6</v>
      </c>
      <c r="B14" s="10" t="s">
        <v>60</v>
      </c>
      <c r="C14" s="124" t="s">
        <v>61</v>
      </c>
      <c r="D14" s="20">
        <f>H14*13.1147</f>
        <v>3867.6736632666666</v>
      </c>
      <c r="E14" s="20">
        <f>I14*13.1147+0.02</f>
        <v>367.67749979999996</v>
      </c>
      <c r="F14" s="20">
        <f t="shared" si="0"/>
        <v>3499.9961634666665</v>
      </c>
      <c r="G14" s="24" t="s">
        <v>18</v>
      </c>
      <c r="H14" s="84">
        <f>4423.67/15</f>
        <v>294.91133333333335</v>
      </c>
      <c r="I14" s="91">
        <f>420.51/15</f>
        <v>28.033999999999999</v>
      </c>
      <c r="J14" s="86">
        <f t="shared" ref="J14" si="3">SUM(H14-I14)</f>
        <v>266.87733333333335</v>
      </c>
      <c r="K14" s="96"/>
      <c r="L14" s="6"/>
      <c r="M14" s="2"/>
      <c r="N14" s="1"/>
      <c r="Q14" s="2"/>
      <c r="R14" s="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0"/>
      <c r="AG14" s="6"/>
      <c r="AH14" s="6"/>
      <c r="AI14" s="20"/>
    </row>
    <row r="15" spans="1:35" s="3" customFormat="1" ht="27" customHeight="1">
      <c r="A15" s="31">
        <v>7</v>
      </c>
      <c r="B15" s="10" t="s">
        <v>62</v>
      </c>
      <c r="C15" s="123" t="s">
        <v>63</v>
      </c>
      <c r="D15" s="4">
        <f t="shared" ref="D15:E15" si="4">H15*1</f>
        <v>209.47633333333334</v>
      </c>
      <c r="E15" s="4">
        <f t="shared" si="4"/>
        <v>6.1429999999999998</v>
      </c>
      <c r="F15" s="2">
        <f t="shared" si="0"/>
        <v>203.33333333333334</v>
      </c>
      <c r="G15" s="24"/>
      <c r="H15" s="84">
        <f>+O15/30</f>
        <v>209.47633333333334</v>
      </c>
      <c r="I15" s="91">
        <f>+P15/30</f>
        <v>6.1429999999999998</v>
      </c>
      <c r="J15" s="86">
        <f t="shared" ref="J15:J17" si="5">SUM(H15-I15)</f>
        <v>203.33333333333334</v>
      </c>
      <c r="K15" s="112"/>
      <c r="L15" s="44"/>
      <c r="M15" s="43"/>
      <c r="N15" s="47"/>
      <c r="O15" s="48">
        <v>6284.29</v>
      </c>
      <c r="P15" s="48">
        <v>184.29</v>
      </c>
      <c r="Q15" s="2"/>
      <c r="R15" s="2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20"/>
      <c r="AG15" s="6"/>
      <c r="AH15" s="6"/>
      <c r="AI15" s="20"/>
    </row>
    <row r="16" spans="1:35" s="3" customFormat="1" ht="27" customHeight="1">
      <c r="A16" s="31">
        <v>8</v>
      </c>
      <c r="B16" s="10" t="s">
        <v>17</v>
      </c>
      <c r="C16" s="124" t="s">
        <v>19</v>
      </c>
      <c r="D16" s="20">
        <f>3366.57</f>
        <v>3366.57</v>
      </c>
      <c r="E16" s="20">
        <f>116.57</f>
        <v>116.57</v>
      </c>
      <c r="F16" s="20">
        <f t="shared" si="0"/>
        <v>3250</v>
      </c>
      <c r="G16" s="24" t="s">
        <v>18</v>
      </c>
      <c r="H16" s="41">
        <v>224.43</v>
      </c>
      <c r="I16" s="41">
        <v>7.77</v>
      </c>
      <c r="J16" s="92">
        <f>SUM(H16-I16)</f>
        <v>216.66</v>
      </c>
      <c r="K16" s="87"/>
      <c r="L16" s="14"/>
      <c r="M16" s="4"/>
      <c r="N16" s="4"/>
      <c r="O16" s="4"/>
      <c r="Q16" s="2"/>
      <c r="R16" s="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20"/>
      <c r="AG16" s="6"/>
      <c r="AH16" s="6"/>
      <c r="AI16" s="20"/>
    </row>
    <row r="17" spans="1:35" s="3" customFormat="1" ht="27" customHeight="1">
      <c r="A17" s="31">
        <v>9</v>
      </c>
      <c r="B17" s="10" t="s">
        <v>14</v>
      </c>
      <c r="C17" s="124" t="s">
        <v>23</v>
      </c>
      <c r="D17" s="20">
        <f>H17*2</f>
        <v>934.3</v>
      </c>
      <c r="E17" s="20">
        <f>I17*2</f>
        <v>114.52666666666667</v>
      </c>
      <c r="F17" s="20">
        <f t="shared" si="0"/>
        <v>819.77333333333331</v>
      </c>
      <c r="G17" s="24" t="s">
        <v>18</v>
      </c>
      <c r="H17" s="84">
        <f>7007.25/15</f>
        <v>467.15</v>
      </c>
      <c r="I17" s="91">
        <f>858.95/15</f>
        <v>57.263333333333335</v>
      </c>
      <c r="J17" s="86">
        <f t="shared" si="5"/>
        <v>409.88666666666666</v>
      </c>
      <c r="K17" s="94"/>
      <c r="L17" s="6"/>
      <c r="M17" s="2"/>
      <c r="N17" s="1"/>
      <c r="Q17" s="2"/>
      <c r="R17" s="2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20"/>
      <c r="AG17" s="6"/>
      <c r="AH17" s="6"/>
      <c r="AI17" s="20"/>
    </row>
    <row r="18" spans="1:35" s="3" customFormat="1" ht="27" customHeight="1">
      <c r="A18" s="31">
        <v>10</v>
      </c>
      <c r="B18" s="10" t="s">
        <v>92</v>
      </c>
      <c r="C18" s="124" t="s">
        <v>93</v>
      </c>
      <c r="D18" s="20">
        <f>H18*1.25</f>
        <v>403.50083333333339</v>
      </c>
      <c r="E18" s="20">
        <f>I18*1.25</f>
        <v>35.905000000000001</v>
      </c>
      <c r="F18" s="20">
        <f t="shared" ref="F18" si="6">D18-E18</f>
        <v>367.59583333333342</v>
      </c>
      <c r="G18" s="24"/>
      <c r="H18" s="84">
        <f>+O18/30</f>
        <v>322.8006666666667</v>
      </c>
      <c r="I18" s="91">
        <f t="shared" ref="I18" si="7">+P18/30</f>
        <v>28.724</v>
      </c>
      <c r="J18" s="86">
        <f t="shared" ref="J18" si="8">SUM(H18-I18)</f>
        <v>294.07666666666671</v>
      </c>
      <c r="K18" s="119"/>
      <c r="L18" s="42"/>
      <c r="M18" s="53"/>
      <c r="N18" s="54"/>
      <c r="O18" s="41">
        <f>4842.01*2</f>
        <v>9684.02</v>
      </c>
      <c r="P18" s="41">
        <f>430.86*2</f>
        <v>861.72</v>
      </c>
      <c r="Q18" s="2"/>
      <c r="R18" s="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20"/>
      <c r="AG18" s="6"/>
      <c r="AH18" s="6"/>
      <c r="AI18" s="20"/>
    </row>
    <row r="19" spans="1:35" s="3" customFormat="1" ht="27" customHeight="1">
      <c r="A19" s="31">
        <v>11</v>
      </c>
      <c r="B19" s="10" t="s">
        <v>94</v>
      </c>
      <c r="C19" s="124" t="s">
        <v>95</v>
      </c>
      <c r="D19" s="20">
        <f>H19*1.25</f>
        <v>534.45000000000005</v>
      </c>
      <c r="E19" s="20">
        <f>I19*1.25</f>
        <v>60.264548333333316</v>
      </c>
      <c r="F19" s="20">
        <f t="shared" ref="F19" si="9">D19-E19</f>
        <v>474.18545166666672</v>
      </c>
      <c r="G19" s="24"/>
      <c r="H19" s="84">
        <f>+O19/30</f>
        <v>427.56</v>
      </c>
      <c r="I19" s="91">
        <f t="shared" ref="I19" si="10">+P19/30</f>
        <v>48.211638666666651</v>
      </c>
      <c r="J19" s="86">
        <f t="shared" ref="J19" si="11">SUM(H19-I19)</f>
        <v>379.34836133333334</v>
      </c>
      <c r="K19" s="119"/>
      <c r="L19" s="42"/>
      <c r="M19" s="53"/>
      <c r="N19" s="54"/>
      <c r="O19" s="41">
        <v>12826.8</v>
      </c>
      <c r="P19" s="41">
        <v>1446.3491599999995</v>
      </c>
      <c r="Q19" s="2"/>
      <c r="R19" s="2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20"/>
      <c r="AG19" s="6"/>
      <c r="AH19" s="6"/>
      <c r="AI19" s="20"/>
    </row>
    <row r="20" spans="1:35" s="3" customFormat="1" ht="27" customHeight="1">
      <c r="A20" s="31">
        <v>12</v>
      </c>
      <c r="B20" s="10" t="s">
        <v>84</v>
      </c>
      <c r="C20" s="124" t="s">
        <v>61</v>
      </c>
      <c r="D20" s="20">
        <f>H20*9.368</f>
        <v>2762.7293706666669</v>
      </c>
      <c r="E20" s="20">
        <f>+I20*9.368+0.11</f>
        <v>262.73251199999999</v>
      </c>
      <c r="F20" s="20">
        <f t="shared" si="0"/>
        <v>2499.9968586666669</v>
      </c>
      <c r="G20" s="24" t="s">
        <v>18</v>
      </c>
      <c r="H20" s="84">
        <f>4423.67/15</f>
        <v>294.91133333333335</v>
      </c>
      <c r="I20" s="91">
        <f>420.51/15</f>
        <v>28.033999999999999</v>
      </c>
      <c r="J20" s="86">
        <f t="shared" ref="J20" si="12">SUM(H20-I20)</f>
        <v>266.87733333333335</v>
      </c>
      <c r="K20" s="96"/>
      <c r="L20" s="6"/>
      <c r="M20" s="2"/>
      <c r="N20" s="1"/>
      <c r="Q20" s="2"/>
      <c r="R20" s="2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20"/>
      <c r="AG20" s="6"/>
      <c r="AH20" s="6"/>
      <c r="AI20" s="20"/>
    </row>
    <row r="22" spans="1:35" s="3" customFormat="1" ht="27" customHeight="1">
      <c r="A22" s="9"/>
      <c r="B22" s="10"/>
      <c r="C22" s="126"/>
      <c r="D22" s="4"/>
      <c r="E22" s="4"/>
      <c r="F22" s="4"/>
      <c r="G22" s="24"/>
      <c r="H22" s="84"/>
      <c r="I22" s="91"/>
      <c r="J22" s="86"/>
      <c r="K22" s="87"/>
      <c r="L22" s="14"/>
      <c r="M22" s="4"/>
      <c r="N22" s="4"/>
      <c r="O22" s="4"/>
      <c r="Q22" s="2"/>
      <c r="R22" s="2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20"/>
      <c r="AG22" s="6"/>
      <c r="AH22" s="6"/>
      <c r="AI22" s="20"/>
    </row>
    <row r="23" spans="1:35" s="3" customFormat="1" ht="27" customHeight="1">
      <c r="A23" s="9"/>
      <c r="B23" s="10"/>
      <c r="C23" s="126"/>
      <c r="D23" s="32">
        <f>SUM(D8:D22)</f>
        <v>24326.13330638667</v>
      </c>
      <c r="E23" s="32">
        <f t="shared" ref="E23:F23" si="13">SUM(E8:E22)</f>
        <v>2117.9829325133333</v>
      </c>
      <c r="F23" s="32">
        <f t="shared" si="13"/>
        <v>22208.150373873334</v>
      </c>
      <c r="G23" s="24"/>
      <c r="H23" s="84"/>
      <c r="I23" s="91"/>
      <c r="J23" s="86"/>
      <c r="K23" s="87"/>
      <c r="L23" s="14"/>
      <c r="M23" s="4"/>
      <c r="N23" s="4"/>
      <c r="O23" s="4"/>
      <c r="Q23" s="2"/>
      <c r="R23" s="2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20"/>
      <c r="AG23" s="6"/>
      <c r="AH23" s="6"/>
      <c r="AI23" s="20"/>
    </row>
    <row r="24" spans="1:35" s="3" customFormat="1" ht="27" customHeight="1">
      <c r="A24" s="9"/>
      <c r="B24" s="10" t="s">
        <v>97</v>
      </c>
      <c r="C24" s="124"/>
      <c r="D24" s="4"/>
      <c r="E24" s="4"/>
      <c r="F24" s="4"/>
      <c r="G24" s="24" t="s">
        <v>18</v>
      </c>
      <c r="H24" s="84"/>
      <c r="I24" s="91"/>
      <c r="J24" s="86">
        <f>SUM(H24-I24)</f>
        <v>0</v>
      </c>
      <c r="K24" s="87"/>
      <c r="L24" s="14"/>
      <c r="M24" s="4"/>
      <c r="N24" s="5"/>
      <c r="Q24" s="2"/>
      <c r="R24" s="2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20"/>
      <c r="AG24" s="6"/>
      <c r="AH24" s="6"/>
      <c r="AI24" s="20"/>
    </row>
    <row r="25" spans="1:35" s="3" customFormat="1" ht="27" customHeight="1">
      <c r="A25" s="9"/>
      <c r="B25" s="10" t="s">
        <v>98</v>
      </c>
      <c r="C25" s="126"/>
      <c r="D25" s="4"/>
      <c r="E25" s="4"/>
      <c r="F25" s="4"/>
      <c r="G25" s="24" t="s">
        <v>18</v>
      </c>
      <c r="H25" s="84"/>
      <c r="I25" s="91"/>
      <c r="J25" s="86">
        <f>SUM(H25-I25)</f>
        <v>0</v>
      </c>
      <c r="K25" s="87"/>
      <c r="L25" s="13"/>
      <c r="M25" s="2"/>
      <c r="N25" s="1"/>
      <c r="Q25" s="2"/>
      <c r="R25" s="2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20"/>
      <c r="AG25" s="6"/>
      <c r="AH25" s="6"/>
      <c r="AI25" s="20"/>
    </row>
    <row r="26" spans="1:35" s="3" customFormat="1" ht="27" customHeight="1">
      <c r="A26" s="9"/>
      <c r="B26" s="10"/>
      <c r="C26" s="126"/>
      <c r="D26" s="28"/>
      <c r="E26" s="28"/>
      <c r="F26" s="21"/>
      <c r="G26" s="24" t="s">
        <v>18</v>
      </c>
      <c r="H26" s="91"/>
      <c r="I26" s="91"/>
      <c r="J26" s="86"/>
      <c r="K26" s="98"/>
      <c r="L26" s="6"/>
      <c r="M26" s="2"/>
      <c r="N26" s="1"/>
      <c r="Q26" s="2"/>
      <c r="R26" s="2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20"/>
      <c r="AG26" s="6"/>
      <c r="AH26" s="6"/>
      <c r="AI26" s="20"/>
    </row>
  </sheetData>
  <mergeCells count="4">
    <mergeCell ref="A1:G1"/>
    <mergeCell ref="A2:G2"/>
    <mergeCell ref="A3:G3"/>
    <mergeCell ref="A4:G4"/>
  </mergeCells>
  <pageMargins left="0.23622047244094491" right="0.23622047244094491" top="0.74803149606299213" bottom="0.74803149606299213" header="0.31496062992125984" footer="0.31496062992125984"/>
  <pageSetup scale="7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zoomScale="90" zoomScaleNormal="90" workbookViewId="0">
      <selection activeCell="A48" sqref="A48"/>
    </sheetView>
  </sheetViews>
  <sheetFormatPr baseColWidth="10" defaultRowHeight="27" customHeight="1"/>
  <cols>
    <col min="1" max="1" width="2.42578125" style="9" bestFit="1" customWidth="1"/>
    <col min="2" max="2" width="33.85546875" style="10" customWidth="1"/>
    <col min="3" max="3" width="40.28515625" style="124" bestFit="1" customWidth="1"/>
    <col min="4" max="4" width="11.42578125" style="6" bestFit="1" customWidth="1"/>
    <col min="5" max="5" width="9.7109375" style="6" bestFit="1" customWidth="1"/>
    <col min="6" max="6" width="20" style="6" bestFit="1" customWidth="1"/>
    <col min="7" max="7" width="37" style="6" customWidth="1"/>
    <col min="8" max="16" width="1.7109375" style="84" customWidth="1"/>
    <col min="17" max="18" width="11.7109375" style="2" customWidth="1"/>
    <col min="19" max="19" width="6.85546875" style="6" customWidth="1"/>
    <col min="20" max="20" width="13.85546875" style="6" customWidth="1"/>
    <col min="21" max="21" width="11.7109375" style="6" customWidth="1"/>
    <col min="22" max="22" width="43.42578125" style="6" customWidth="1"/>
    <col min="23" max="31" width="11.7109375" style="6" customWidth="1"/>
    <col min="32" max="32" width="11.7109375" style="20" customWidth="1"/>
    <col min="33" max="34" width="11.7109375" style="6" customWidth="1"/>
    <col min="35" max="35" width="11.7109375" style="20" customWidth="1"/>
    <col min="36" max="36" width="11.7109375" style="6" customWidth="1"/>
    <col min="37" max="37" width="2.28515625" style="6" customWidth="1"/>
    <col min="38" max="38" width="15.5703125" style="6" customWidth="1"/>
    <col min="39" max="39" width="11.42578125" style="6" customWidth="1"/>
    <col min="40" max="40" width="11.42578125" style="6"/>
    <col min="41" max="41" width="11.42578125" style="6" customWidth="1"/>
    <col min="42" max="42" width="42.28515625" style="6" customWidth="1"/>
    <col min="43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25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89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s="17" customFormat="1" ht="27" customHeight="1">
      <c r="A7" s="31"/>
      <c r="B7" s="23"/>
      <c r="C7" s="121"/>
      <c r="D7" s="1"/>
      <c r="E7" s="3"/>
      <c r="F7" s="3"/>
      <c r="G7" s="7"/>
      <c r="H7" s="84"/>
      <c r="I7" s="84"/>
      <c r="J7" s="84"/>
      <c r="K7" s="84"/>
      <c r="L7" s="84"/>
      <c r="M7" s="84"/>
      <c r="N7" s="84"/>
      <c r="O7" s="84"/>
      <c r="P7" s="84"/>
      <c r="Q7" s="15"/>
      <c r="R7" s="16"/>
      <c r="AF7" s="18"/>
      <c r="AI7" s="18"/>
    </row>
    <row r="8" spans="1:35" ht="27" customHeight="1">
      <c r="A8" s="31"/>
      <c r="B8" s="6"/>
      <c r="C8" s="60"/>
      <c r="D8" s="20"/>
      <c r="E8" s="20"/>
      <c r="F8" s="20"/>
      <c r="G8" s="24"/>
      <c r="H8" s="88"/>
      <c r="I8" s="88"/>
      <c r="J8" s="88"/>
      <c r="K8" s="88"/>
      <c r="L8" s="88"/>
      <c r="M8" s="88"/>
      <c r="N8" s="88"/>
      <c r="O8" s="88"/>
      <c r="P8" s="88"/>
      <c r="Q8" s="25"/>
      <c r="R8" s="25"/>
      <c r="S8" s="19"/>
      <c r="T8" s="2"/>
      <c r="U8" s="2"/>
      <c r="V8" s="3"/>
    </row>
    <row r="9" spans="1:35" ht="27" customHeight="1">
      <c r="A9" s="31">
        <v>1</v>
      </c>
      <c r="B9" s="10" t="s">
        <v>53</v>
      </c>
      <c r="C9" s="60" t="s">
        <v>26</v>
      </c>
      <c r="D9" s="20">
        <f>H9*2</f>
        <v>728</v>
      </c>
      <c r="E9" s="20">
        <f>I9*2</f>
        <v>69.28</v>
      </c>
      <c r="F9" s="20">
        <f t="shared" ref="F9:F29" si="0">D9-E9</f>
        <v>658.72</v>
      </c>
      <c r="G9" s="24" t="s">
        <v>18</v>
      </c>
      <c r="H9" s="84">
        <f>364*1</f>
        <v>364</v>
      </c>
      <c r="I9" s="84">
        <f>34.64*1</f>
        <v>34.64</v>
      </c>
      <c r="J9" s="84">
        <f t="shared" ref="J9" si="1">SUM(H9-I9)</f>
        <v>329.36</v>
      </c>
      <c r="Q9" s="25"/>
      <c r="R9" s="25"/>
      <c r="S9" s="19"/>
      <c r="T9" s="2"/>
      <c r="U9" s="2"/>
      <c r="V9" s="3"/>
    </row>
    <row r="10" spans="1:35" ht="27" customHeight="1">
      <c r="A10" s="31">
        <v>2</v>
      </c>
      <c r="B10" s="10" t="s">
        <v>54</v>
      </c>
      <c r="C10" s="122" t="s">
        <v>55</v>
      </c>
      <c r="D10" s="20">
        <f>H10</f>
        <v>364</v>
      </c>
      <c r="E10" s="20">
        <f>I10</f>
        <v>34.64</v>
      </c>
      <c r="F10" s="20">
        <f t="shared" ref="F10" si="2">D10-E10</f>
        <v>329.36</v>
      </c>
      <c r="G10" s="24"/>
      <c r="H10" s="84">
        <f>364*1</f>
        <v>364</v>
      </c>
      <c r="I10" s="84">
        <f>34.64*1</f>
        <v>34.64</v>
      </c>
      <c r="J10" s="84">
        <f t="shared" ref="J10:J11" si="3">SUM(H10-I10)</f>
        <v>329.36</v>
      </c>
      <c r="Q10" s="25"/>
      <c r="R10" s="25"/>
      <c r="S10" s="19"/>
      <c r="T10" s="2"/>
      <c r="U10" s="2"/>
      <c r="V10" s="3"/>
    </row>
    <row r="11" spans="1:35" ht="27" customHeight="1">
      <c r="A11" s="31">
        <v>3</v>
      </c>
      <c r="B11" s="10" t="s">
        <v>56</v>
      </c>
      <c r="C11" s="122" t="s">
        <v>57</v>
      </c>
      <c r="D11" s="20">
        <f>H11*3</f>
        <v>1016.473</v>
      </c>
      <c r="E11" s="20">
        <f>I11*3</f>
        <v>94.121000000000009</v>
      </c>
      <c r="F11" s="20">
        <f t="shared" ref="F11:F12" si="4">D11-E11</f>
        <v>922.35199999999998</v>
      </c>
      <c r="G11" s="24"/>
      <c r="H11" s="84">
        <f>+O11/30</f>
        <v>338.8243333333333</v>
      </c>
      <c r="I11" s="84">
        <f>+P11/30</f>
        <v>31.373666666666669</v>
      </c>
      <c r="J11" s="84">
        <f t="shared" si="3"/>
        <v>307.45066666666662</v>
      </c>
      <c r="L11" s="84" t="s">
        <v>56</v>
      </c>
      <c r="N11" s="84" t="s">
        <v>57</v>
      </c>
      <c r="O11" s="84">
        <v>10164.73</v>
      </c>
      <c r="P11" s="84">
        <v>941.21</v>
      </c>
      <c r="Q11" s="25"/>
      <c r="R11" s="25"/>
      <c r="S11" s="19"/>
      <c r="T11" s="2"/>
      <c r="U11" s="2"/>
      <c r="V11" s="3"/>
    </row>
    <row r="12" spans="1:35" s="3" customFormat="1" ht="27" customHeight="1">
      <c r="A12" s="31">
        <v>4</v>
      </c>
      <c r="B12" s="10" t="s">
        <v>31</v>
      </c>
      <c r="C12" s="122" t="s">
        <v>32</v>
      </c>
      <c r="D12" s="20">
        <f>H12*1</f>
        <v>470.77600000000001</v>
      </c>
      <c r="E12" s="20">
        <f>I12*1</f>
        <v>57.442666666666668</v>
      </c>
      <c r="F12" s="20">
        <f t="shared" si="4"/>
        <v>413.33333333333337</v>
      </c>
      <c r="G12" s="24"/>
      <c r="H12" s="84">
        <f>14123.28/30</f>
        <v>470.77600000000001</v>
      </c>
      <c r="I12" s="84">
        <f>1723.28/30</f>
        <v>57.442666666666668</v>
      </c>
      <c r="J12" s="84">
        <f>SUM(H12-I12)</f>
        <v>413.33333333333337</v>
      </c>
      <c r="K12" s="84"/>
      <c r="L12" s="84"/>
      <c r="M12" s="84"/>
      <c r="N12" s="84"/>
      <c r="O12" s="84"/>
      <c r="P12" s="84"/>
      <c r="Q12" s="2"/>
      <c r="R12" s="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0"/>
      <c r="AG12" s="6"/>
      <c r="AH12" s="6"/>
      <c r="AI12" s="20"/>
    </row>
    <row r="13" spans="1:35" s="3" customFormat="1" ht="27" customHeight="1">
      <c r="A13" s="31">
        <v>5</v>
      </c>
      <c r="B13" s="10" t="s">
        <v>58</v>
      </c>
      <c r="C13" s="122" t="s">
        <v>59</v>
      </c>
      <c r="D13" s="20">
        <f>H13*2</f>
        <v>488.96533333333332</v>
      </c>
      <c r="E13" s="20">
        <f>I13*2</f>
        <v>22.298666666666669</v>
      </c>
      <c r="F13" s="20">
        <f t="shared" ref="F13:F15" si="5">D13-E13</f>
        <v>466.66666666666663</v>
      </c>
      <c r="G13" s="24"/>
      <c r="H13" s="84">
        <f>+O13/30</f>
        <v>244.48266666666666</v>
      </c>
      <c r="I13" s="84">
        <f>+P13/30</f>
        <v>11.149333333333335</v>
      </c>
      <c r="J13" s="84">
        <f t="shared" ref="J13:J14" si="6">SUM(H13-I13)</f>
        <v>233.33333333333331</v>
      </c>
      <c r="K13" s="84"/>
      <c r="L13" s="84" t="s">
        <v>58</v>
      </c>
      <c r="M13" s="84"/>
      <c r="N13" s="84" t="s">
        <v>59</v>
      </c>
      <c r="O13" s="84">
        <v>7334.48</v>
      </c>
      <c r="P13" s="84">
        <v>334.48</v>
      </c>
      <c r="Q13" s="2"/>
      <c r="R13" s="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0"/>
      <c r="AG13" s="6"/>
      <c r="AH13" s="6"/>
      <c r="AI13" s="20"/>
    </row>
    <row r="14" spans="1:35" s="3" customFormat="1" ht="27" customHeight="1">
      <c r="A14" s="31">
        <v>6</v>
      </c>
      <c r="B14" s="10" t="s">
        <v>2</v>
      </c>
      <c r="C14" s="123" t="s">
        <v>13</v>
      </c>
      <c r="D14" s="4">
        <f>H14*1</f>
        <v>401.26666666666665</v>
      </c>
      <c r="E14" s="4">
        <f t="shared" ref="E14" si="7">I14*1</f>
        <v>49.266666666666666</v>
      </c>
      <c r="F14" s="2">
        <f t="shared" si="5"/>
        <v>352</v>
      </c>
      <c r="G14" s="24" t="s">
        <v>18</v>
      </c>
      <c r="H14" s="95">
        <f>6019/15</f>
        <v>401.26666666666665</v>
      </c>
      <c r="I14" s="95">
        <f>739/15</f>
        <v>49.266666666666666</v>
      </c>
      <c r="J14" s="95">
        <f t="shared" si="6"/>
        <v>352</v>
      </c>
      <c r="K14" s="95"/>
      <c r="L14" s="95"/>
      <c r="M14" s="95"/>
      <c r="N14" s="95"/>
      <c r="O14" s="95"/>
      <c r="P14" s="95"/>
      <c r="Q14" s="2"/>
      <c r="R14" s="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0"/>
      <c r="AG14" s="6"/>
      <c r="AH14" s="6"/>
      <c r="AI14" s="20"/>
    </row>
    <row r="15" spans="1:35" s="3" customFormat="1" ht="27" customHeight="1">
      <c r="A15" s="31">
        <v>7</v>
      </c>
      <c r="B15" s="10" t="s">
        <v>60</v>
      </c>
      <c r="C15" s="124" t="s">
        <v>61</v>
      </c>
      <c r="D15" s="20">
        <f>H15*13.1147</f>
        <v>3867.6736632666666</v>
      </c>
      <c r="E15" s="20">
        <f>I15*13.1147+0.02</f>
        <v>367.67749979999996</v>
      </c>
      <c r="F15" s="20">
        <f t="shared" si="5"/>
        <v>3499.9961634666665</v>
      </c>
      <c r="G15" s="24" t="s">
        <v>18</v>
      </c>
      <c r="H15" s="84">
        <f>4423.67/15</f>
        <v>294.91133333333335</v>
      </c>
      <c r="I15" s="84">
        <f>420.51/15</f>
        <v>28.033999999999999</v>
      </c>
      <c r="J15" s="84">
        <f t="shared" ref="J15" si="8">SUM(H15-I15)</f>
        <v>266.87733333333335</v>
      </c>
      <c r="K15" s="84"/>
      <c r="L15" s="84"/>
      <c r="M15" s="84"/>
      <c r="N15" s="84"/>
      <c r="O15" s="84"/>
      <c r="P15" s="84"/>
      <c r="Q15" s="2"/>
      <c r="R15" s="2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20"/>
      <c r="AG15" s="6"/>
      <c r="AH15" s="6"/>
      <c r="AI15" s="20"/>
    </row>
    <row r="16" spans="1:35" s="3" customFormat="1" ht="27" customHeight="1">
      <c r="A16" s="31">
        <v>8</v>
      </c>
      <c r="B16" s="10" t="s">
        <v>41</v>
      </c>
      <c r="C16" s="123" t="s">
        <v>12</v>
      </c>
      <c r="D16" s="4">
        <f t="shared" ref="D16:E16" si="9">H16*1</f>
        <v>330.4</v>
      </c>
      <c r="E16" s="4">
        <f t="shared" si="9"/>
        <v>34.4</v>
      </c>
      <c r="F16" s="2">
        <f t="shared" si="0"/>
        <v>296</v>
      </c>
      <c r="G16" s="24" t="s">
        <v>18</v>
      </c>
      <c r="H16" s="95">
        <f>4956/15</f>
        <v>330.4</v>
      </c>
      <c r="I16" s="95">
        <f>516/15</f>
        <v>34.4</v>
      </c>
      <c r="J16" s="95">
        <f t="shared" ref="J16:J29" si="10">SUM(H16-I16)</f>
        <v>296</v>
      </c>
      <c r="K16" s="95"/>
      <c r="L16" s="95"/>
      <c r="M16" s="95"/>
      <c r="N16" s="95"/>
      <c r="O16" s="95"/>
      <c r="P16" s="95"/>
      <c r="Q16" s="2"/>
      <c r="R16" s="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20"/>
      <c r="AG16" s="6"/>
      <c r="AH16" s="6"/>
      <c r="AI16" s="20"/>
    </row>
    <row r="17" spans="1:35" s="3" customFormat="1" ht="27" customHeight="1">
      <c r="A17" s="31">
        <v>9</v>
      </c>
      <c r="B17" s="10" t="s">
        <v>62</v>
      </c>
      <c r="C17" s="123" t="s">
        <v>63</v>
      </c>
      <c r="D17" s="4">
        <f t="shared" ref="D17" si="11">H17*1</f>
        <v>209.47633333333334</v>
      </c>
      <c r="E17" s="4">
        <f t="shared" ref="E17" si="12">I17*1</f>
        <v>6.1429999999999998</v>
      </c>
      <c r="F17" s="2">
        <f t="shared" ref="F17:F19" si="13">D17-E17</f>
        <v>203.33333333333334</v>
      </c>
      <c r="G17" s="24"/>
      <c r="H17" s="84">
        <f>+O17/30</f>
        <v>209.47633333333334</v>
      </c>
      <c r="I17" s="84">
        <f>+P17/30</f>
        <v>6.1429999999999998</v>
      </c>
      <c r="J17" s="84">
        <f t="shared" si="10"/>
        <v>203.33333333333334</v>
      </c>
      <c r="K17" s="84"/>
      <c r="L17" s="84" t="s">
        <v>62</v>
      </c>
      <c r="M17" s="84"/>
      <c r="N17" s="84" t="s">
        <v>63</v>
      </c>
      <c r="O17" s="84">
        <v>6284.29</v>
      </c>
      <c r="P17" s="84">
        <v>184.29</v>
      </c>
      <c r="Q17" s="2"/>
      <c r="R17" s="2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20"/>
      <c r="AG17" s="6"/>
      <c r="AH17" s="6"/>
      <c r="AI17" s="20"/>
    </row>
    <row r="18" spans="1:35" s="3" customFormat="1" ht="27" customHeight="1">
      <c r="A18" s="31">
        <v>10</v>
      </c>
      <c r="B18" s="10" t="s">
        <v>17</v>
      </c>
      <c r="C18" s="124" t="s">
        <v>19</v>
      </c>
      <c r="D18" s="20">
        <f>3366.57+H18</f>
        <v>3591</v>
      </c>
      <c r="E18" s="20">
        <f>116.57+I18</f>
        <v>124.33999999999999</v>
      </c>
      <c r="F18" s="20">
        <f t="shared" si="13"/>
        <v>3466.66</v>
      </c>
      <c r="G18" s="24" t="s">
        <v>18</v>
      </c>
      <c r="H18" s="97">
        <v>224.43</v>
      </c>
      <c r="I18" s="97">
        <v>7.77</v>
      </c>
      <c r="J18" s="97">
        <f>SUM(H18-I18)</f>
        <v>216.66</v>
      </c>
      <c r="K18" s="97"/>
      <c r="L18" s="97"/>
      <c r="M18" s="97"/>
      <c r="N18" s="97"/>
      <c r="O18" s="97"/>
      <c r="P18" s="97"/>
      <c r="Q18" s="2"/>
      <c r="R18" s="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20"/>
      <c r="AG18" s="6"/>
      <c r="AH18" s="6"/>
      <c r="AI18" s="20"/>
    </row>
    <row r="19" spans="1:35" s="3" customFormat="1" ht="27" customHeight="1">
      <c r="A19" s="31">
        <v>11</v>
      </c>
      <c r="B19" s="10" t="s">
        <v>3</v>
      </c>
      <c r="C19" s="123" t="s">
        <v>12</v>
      </c>
      <c r="D19" s="4">
        <f t="shared" ref="D19:E19" si="14">H19*1</f>
        <v>330.4</v>
      </c>
      <c r="E19" s="4">
        <f t="shared" si="14"/>
        <v>34.4</v>
      </c>
      <c r="F19" s="2">
        <f t="shared" si="13"/>
        <v>296</v>
      </c>
      <c r="G19" s="24" t="s">
        <v>18</v>
      </c>
      <c r="H19" s="95">
        <f>4956/15</f>
        <v>330.4</v>
      </c>
      <c r="I19" s="95">
        <f>516/15</f>
        <v>34.4</v>
      </c>
      <c r="J19" s="95">
        <f t="shared" ref="J19:J20" si="15">SUM(H19-I19)</f>
        <v>296</v>
      </c>
      <c r="K19" s="95"/>
      <c r="L19" s="95"/>
      <c r="M19" s="95"/>
      <c r="N19" s="95"/>
      <c r="O19" s="95"/>
      <c r="P19" s="95"/>
      <c r="Q19" s="2"/>
      <c r="R19" s="2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20"/>
      <c r="AG19" s="6"/>
      <c r="AH19" s="6"/>
      <c r="AI19" s="20"/>
    </row>
    <row r="20" spans="1:35" s="3" customFormat="1" ht="27" customHeight="1">
      <c r="A20" s="31">
        <v>12</v>
      </c>
      <c r="B20" s="10" t="s">
        <v>64</v>
      </c>
      <c r="C20" s="123" t="s">
        <v>65</v>
      </c>
      <c r="D20" s="4">
        <f>H20*2</f>
        <v>485.1</v>
      </c>
      <c r="E20" s="4">
        <f>I20*2</f>
        <v>21.878301866666668</v>
      </c>
      <c r="F20" s="2">
        <f t="shared" ref="F20:F21" si="16">D20-E20</f>
        <v>463.22169813333335</v>
      </c>
      <c r="G20" s="24"/>
      <c r="H20" s="84">
        <f t="shared" ref="H20:I22" si="17">+O20/30</f>
        <v>242.55</v>
      </c>
      <c r="I20" s="84">
        <f t="shared" si="17"/>
        <v>10.939150933333334</v>
      </c>
      <c r="J20" s="84">
        <f t="shared" si="15"/>
        <v>231.61084906666667</v>
      </c>
      <c r="K20" s="84"/>
      <c r="L20" s="84" t="s">
        <v>64</v>
      </c>
      <c r="M20" s="84"/>
      <c r="N20" s="84" t="s">
        <v>65</v>
      </c>
      <c r="O20" s="84">
        <v>7276.5</v>
      </c>
      <c r="P20" s="84">
        <v>328.17452800000001</v>
      </c>
      <c r="Q20" s="2"/>
      <c r="R20" s="2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20"/>
      <c r="AG20" s="6"/>
      <c r="AH20" s="6"/>
      <c r="AI20" s="20"/>
    </row>
    <row r="21" spans="1:35" s="3" customFormat="1" ht="27" customHeight="1">
      <c r="A21" s="31">
        <v>13</v>
      </c>
      <c r="B21" s="10" t="s">
        <v>66</v>
      </c>
      <c r="C21" s="123" t="s">
        <v>67</v>
      </c>
      <c r="D21" s="4">
        <f t="shared" ref="D21" si="18">H21*1</f>
        <v>224.43766666666667</v>
      </c>
      <c r="E21" s="4">
        <f t="shared" ref="E21" si="19">I21*1</f>
        <v>7.7709999999999999</v>
      </c>
      <c r="F21" s="2">
        <f t="shared" si="16"/>
        <v>216.66666666666669</v>
      </c>
      <c r="G21" s="24"/>
      <c r="H21" s="84">
        <f t="shared" si="17"/>
        <v>224.43766666666667</v>
      </c>
      <c r="I21" s="84">
        <f t="shared" si="17"/>
        <v>7.7709999999999999</v>
      </c>
      <c r="J21" s="84">
        <f t="shared" ref="J21" si="20">SUM(H21-I21)</f>
        <v>216.66666666666669</v>
      </c>
      <c r="K21" s="84"/>
      <c r="L21" s="84" t="s">
        <v>66</v>
      </c>
      <c r="M21" s="84"/>
      <c r="N21" s="84" t="s">
        <v>67</v>
      </c>
      <c r="O21" s="84">
        <v>6733.13</v>
      </c>
      <c r="P21" s="84">
        <v>233.13</v>
      </c>
      <c r="Q21" s="2"/>
      <c r="R21" s="2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20"/>
      <c r="AG21" s="6"/>
      <c r="AH21" s="6"/>
      <c r="AI21" s="20"/>
    </row>
    <row r="22" spans="1:35" s="3" customFormat="1" ht="27" customHeight="1">
      <c r="A22" s="31">
        <v>14</v>
      </c>
      <c r="B22" s="10" t="s">
        <v>68</v>
      </c>
      <c r="C22" s="123" t="s">
        <v>69</v>
      </c>
      <c r="D22" s="4">
        <f>H22*2</f>
        <v>488.96533333333332</v>
      </c>
      <c r="E22" s="4">
        <f>I22*2</f>
        <v>22.298666666666669</v>
      </c>
      <c r="F22" s="2">
        <f t="shared" ref="F22:F24" si="21">D22-E22</f>
        <v>466.66666666666663</v>
      </c>
      <c r="G22" s="24"/>
      <c r="H22" s="84">
        <f t="shared" si="17"/>
        <v>244.48266666666666</v>
      </c>
      <c r="I22" s="84">
        <f t="shared" si="17"/>
        <v>11.149333333333335</v>
      </c>
      <c r="J22" s="84">
        <f t="shared" ref="J22:J24" si="22">SUM(H22-I22)</f>
        <v>233.33333333333331</v>
      </c>
      <c r="K22" s="84"/>
      <c r="L22" s="84" t="s">
        <v>68</v>
      </c>
      <c r="M22" s="84"/>
      <c r="N22" s="84" t="s">
        <v>69</v>
      </c>
      <c r="O22" s="84">
        <v>7334.48</v>
      </c>
      <c r="P22" s="84">
        <v>334.48</v>
      </c>
      <c r="Q22" s="2"/>
      <c r="R22" s="2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20"/>
      <c r="AG22" s="6"/>
      <c r="AH22" s="6"/>
      <c r="AI22" s="20"/>
    </row>
    <row r="23" spans="1:35" s="3" customFormat="1" ht="27" customHeight="1">
      <c r="A23" s="31">
        <v>15</v>
      </c>
      <c r="B23" s="10" t="s">
        <v>8</v>
      </c>
      <c r="C23" s="124" t="s">
        <v>22</v>
      </c>
      <c r="D23" s="20">
        <f>H23*1</f>
        <v>330.4</v>
      </c>
      <c r="E23" s="20">
        <f>I23*1</f>
        <v>34.4</v>
      </c>
      <c r="F23" s="20">
        <f t="shared" si="21"/>
        <v>296</v>
      </c>
      <c r="G23" s="24" t="s">
        <v>18</v>
      </c>
      <c r="H23" s="84">
        <v>330.4</v>
      </c>
      <c r="I23" s="84">
        <v>34.4</v>
      </c>
      <c r="J23" s="84">
        <f t="shared" si="22"/>
        <v>296</v>
      </c>
      <c r="K23" s="84"/>
      <c r="L23" s="84"/>
      <c r="M23" s="84"/>
      <c r="N23" s="84"/>
      <c r="O23" s="84"/>
      <c r="P23" s="84"/>
      <c r="Q23" s="2"/>
      <c r="R23" s="2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20"/>
      <c r="AG23" s="6"/>
      <c r="AH23" s="6"/>
      <c r="AI23" s="20"/>
    </row>
    <row r="24" spans="1:35" s="3" customFormat="1" ht="27" customHeight="1">
      <c r="A24" s="31">
        <v>16</v>
      </c>
      <c r="B24" s="10" t="s">
        <v>4</v>
      </c>
      <c r="C24" s="124" t="s">
        <v>11</v>
      </c>
      <c r="D24" s="20">
        <f>H24*1</f>
        <v>330.4</v>
      </c>
      <c r="E24" s="20">
        <f>I24*1</f>
        <v>34.4</v>
      </c>
      <c r="F24" s="20">
        <f t="shared" si="21"/>
        <v>296</v>
      </c>
      <c r="G24" s="24" t="s">
        <v>18</v>
      </c>
      <c r="H24" s="84">
        <v>330.4</v>
      </c>
      <c r="I24" s="84">
        <v>34.4</v>
      </c>
      <c r="J24" s="84">
        <f t="shared" si="22"/>
        <v>296</v>
      </c>
      <c r="K24" s="84"/>
      <c r="L24" s="84"/>
      <c r="M24" s="84"/>
      <c r="N24" s="84"/>
      <c r="O24" s="84"/>
      <c r="P24" s="84"/>
      <c r="Q24" s="2"/>
      <c r="R24" s="2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20"/>
      <c r="AG24" s="6"/>
      <c r="AH24" s="6"/>
      <c r="AI24" s="20"/>
    </row>
    <row r="25" spans="1:35" s="3" customFormat="1" ht="27" customHeight="1">
      <c r="A25" s="31">
        <v>17</v>
      </c>
      <c r="B25" s="10" t="s">
        <v>70</v>
      </c>
      <c r="C25" s="124" t="s">
        <v>71</v>
      </c>
      <c r="D25" s="20">
        <f>H25*2</f>
        <v>596.21333333333337</v>
      </c>
      <c r="E25" s="20">
        <f>I25*2</f>
        <v>49.546666666666667</v>
      </c>
      <c r="F25" s="20">
        <f t="shared" ref="F25" si="23">D25-E25</f>
        <v>546.66666666666674</v>
      </c>
      <c r="G25" s="24"/>
      <c r="H25" s="84">
        <f>+O25/30</f>
        <v>298.10666666666668</v>
      </c>
      <c r="I25" s="84">
        <f>+P25/30</f>
        <v>24.773333333333333</v>
      </c>
      <c r="J25" s="84">
        <f t="shared" ref="J25" si="24">SUM(H25-I25)</f>
        <v>273.33333333333337</v>
      </c>
      <c r="K25" s="84"/>
      <c r="L25" s="84" t="s">
        <v>70</v>
      </c>
      <c r="M25" s="84"/>
      <c r="N25" s="84" t="s">
        <v>71</v>
      </c>
      <c r="O25" s="84">
        <v>8943.2000000000007</v>
      </c>
      <c r="P25" s="84">
        <v>743.2</v>
      </c>
      <c r="Q25" s="2"/>
      <c r="R25" s="2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20"/>
      <c r="AG25" s="6"/>
      <c r="AH25" s="6"/>
      <c r="AI25" s="20"/>
    </row>
    <row r="26" spans="1:35" s="3" customFormat="1" ht="27" customHeight="1">
      <c r="A26" s="31">
        <v>18</v>
      </c>
      <c r="B26" s="10" t="s">
        <v>14</v>
      </c>
      <c r="C26" s="124" t="s">
        <v>23</v>
      </c>
      <c r="D26" s="20">
        <f>H26*3</f>
        <v>1401.4499999999998</v>
      </c>
      <c r="E26" s="20">
        <f>I26*3</f>
        <v>171.79000000000002</v>
      </c>
      <c r="F26" s="20">
        <f t="shared" si="0"/>
        <v>1229.6599999999999</v>
      </c>
      <c r="G26" s="24" t="s">
        <v>18</v>
      </c>
      <c r="H26" s="84">
        <f>7007.25/15</f>
        <v>467.15</v>
      </c>
      <c r="I26" s="84">
        <f>858.95/15</f>
        <v>57.263333333333335</v>
      </c>
      <c r="J26" s="84">
        <f t="shared" si="10"/>
        <v>409.88666666666666</v>
      </c>
      <c r="K26" s="84"/>
      <c r="L26" s="84"/>
      <c r="M26" s="84"/>
      <c r="N26" s="84"/>
      <c r="O26" s="84"/>
      <c r="P26" s="84"/>
      <c r="Q26" s="2"/>
      <c r="R26" s="2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20"/>
      <c r="AG26" s="6"/>
      <c r="AH26" s="6"/>
      <c r="AI26" s="20"/>
    </row>
    <row r="27" spans="1:35" s="3" customFormat="1" ht="27" customHeight="1">
      <c r="A27" s="31">
        <v>19</v>
      </c>
      <c r="B27" s="10" t="s">
        <v>72</v>
      </c>
      <c r="C27" s="124" t="s">
        <v>73</v>
      </c>
      <c r="D27" s="20">
        <f t="shared" ref="D27:D28" si="25">H27*1</f>
        <v>282.54399999999998</v>
      </c>
      <c r="E27" s="20">
        <f t="shared" ref="E27:E28" si="26">I27*1</f>
        <v>22.544333333333334</v>
      </c>
      <c r="F27" s="20">
        <f t="shared" si="0"/>
        <v>259.99966666666666</v>
      </c>
      <c r="G27" s="24"/>
      <c r="H27" s="84">
        <f t="shared" ref="H27:H29" si="27">+O27/30</f>
        <v>282.54399999999998</v>
      </c>
      <c r="I27" s="84">
        <f t="shared" ref="I27:I29" si="28">+P27/30</f>
        <v>22.544333333333334</v>
      </c>
      <c r="J27" s="84">
        <f t="shared" si="10"/>
        <v>259.99966666666666</v>
      </c>
      <c r="K27" s="84"/>
      <c r="L27" s="84" t="s">
        <v>72</v>
      </c>
      <c r="M27" s="84"/>
      <c r="N27" s="84" t="s">
        <v>73</v>
      </c>
      <c r="O27" s="84">
        <v>8476.32</v>
      </c>
      <c r="P27" s="84">
        <v>676.33</v>
      </c>
      <c r="Q27" s="2"/>
      <c r="R27" s="2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20"/>
      <c r="AG27" s="6"/>
      <c r="AH27" s="6"/>
      <c r="AI27" s="20"/>
    </row>
    <row r="28" spans="1:35" s="3" customFormat="1" ht="27" customHeight="1">
      <c r="A28" s="31">
        <v>20</v>
      </c>
      <c r="B28" s="10" t="s">
        <v>74</v>
      </c>
      <c r="C28" s="124" t="s">
        <v>75</v>
      </c>
      <c r="D28" s="20">
        <f t="shared" si="25"/>
        <v>339.93333333333334</v>
      </c>
      <c r="E28" s="20">
        <f t="shared" si="26"/>
        <v>31.572402133333334</v>
      </c>
      <c r="F28" s="20">
        <f t="shared" si="0"/>
        <v>308.36093119999998</v>
      </c>
      <c r="G28" s="24"/>
      <c r="H28" s="84">
        <f t="shared" si="27"/>
        <v>339.93333333333334</v>
      </c>
      <c r="I28" s="84">
        <f t="shared" si="28"/>
        <v>31.572402133333334</v>
      </c>
      <c r="J28" s="84">
        <f t="shared" si="10"/>
        <v>308.36093119999998</v>
      </c>
      <c r="K28" s="84"/>
      <c r="L28" s="84" t="s">
        <v>74</v>
      </c>
      <c r="M28" s="84"/>
      <c r="N28" s="84" t="s">
        <v>75</v>
      </c>
      <c r="O28" s="84">
        <v>10198</v>
      </c>
      <c r="P28" s="84">
        <v>947.17206399999998</v>
      </c>
      <c r="Q28" s="2"/>
      <c r="R28" s="2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20"/>
      <c r="AG28" s="6"/>
      <c r="AH28" s="6"/>
      <c r="AI28" s="20"/>
    </row>
    <row r="29" spans="1:35" s="3" customFormat="1" ht="27" customHeight="1">
      <c r="A29" s="31">
        <v>21</v>
      </c>
      <c r="B29" s="10" t="s">
        <v>76</v>
      </c>
      <c r="C29" s="124" t="s">
        <v>77</v>
      </c>
      <c r="D29" s="20">
        <f>H29*2</f>
        <v>659.70533333333333</v>
      </c>
      <c r="E29" s="20">
        <f>I29*2</f>
        <v>59.705333333333336</v>
      </c>
      <c r="F29" s="20">
        <f t="shared" si="0"/>
        <v>600</v>
      </c>
      <c r="G29" s="24"/>
      <c r="H29" s="84">
        <f t="shared" si="27"/>
        <v>329.85266666666666</v>
      </c>
      <c r="I29" s="84">
        <f t="shared" si="28"/>
        <v>29.852666666666668</v>
      </c>
      <c r="J29" s="84">
        <f t="shared" si="10"/>
        <v>300</v>
      </c>
      <c r="K29" s="84"/>
      <c r="L29" s="84" t="s">
        <v>76</v>
      </c>
      <c r="M29" s="84"/>
      <c r="N29" s="84" t="s">
        <v>77</v>
      </c>
      <c r="O29" s="84">
        <v>9895.58</v>
      </c>
      <c r="P29" s="84">
        <v>895.58</v>
      </c>
      <c r="Q29" s="2"/>
      <c r="R29" s="2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20"/>
      <c r="AG29" s="6"/>
      <c r="AH29" s="6"/>
      <c r="AI29" s="20"/>
    </row>
    <row r="30" spans="1:35" s="3" customFormat="1" ht="27" customHeight="1">
      <c r="A30" s="31">
        <v>22</v>
      </c>
      <c r="B30" s="10" t="s">
        <v>78</v>
      </c>
      <c r="C30" s="124" t="s">
        <v>79</v>
      </c>
      <c r="D30" s="20">
        <f>H30*2</f>
        <v>408.39866666666666</v>
      </c>
      <c r="E30" s="20">
        <f>I30*2</f>
        <v>8.3986666666666672</v>
      </c>
      <c r="F30" s="20">
        <f t="shared" ref="F30" si="29">D30-E30</f>
        <v>400</v>
      </c>
      <c r="G30" s="24"/>
      <c r="H30" s="84">
        <f t="shared" ref="H30" si="30">+O30/30</f>
        <v>204.19933333333333</v>
      </c>
      <c r="I30" s="84">
        <f t="shared" ref="I30" si="31">+P30/30</f>
        <v>4.1993333333333336</v>
      </c>
      <c r="J30" s="84">
        <f t="shared" ref="J30" si="32">SUM(H30-I30)</f>
        <v>200</v>
      </c>
      <c r="K30" s="84"/>
      <c r="L30" s="84" t="s">
        <v>78</v>
      </c>
      <c r="M30" s="84"/>
      <c r="N30" s="84" t="s">
        <v>79</v>
      </c>
      <c r="O30" s="84">
        <v>6125.98</v>
      </c>
      <c r="P30" s="84">
        <v>125.98</v>
      </c>
      <c r="Q30" s="2"/>
      <c r="R30" s="2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20"/>
      <c r="AG30" s="6"/>
      <c r="AH30" s="6"/>
      <c r="AI30" s="20"/>
    </row>
    <row r="31" spans="1:35" s="3" customFormat="1" ht="27" customHeight="1">
      <c r="A31" s="31">
        <v>23</v>
      </c>
      <c r="B31" s="10" t="s">
        <v>80</v>
      </c>
      <c r="C31" s="124" t="s">
        <v>81</v>
      </c>
      <c r="D31" s="20">
        <f t="shared" ref="D31" si="33">H31*1</f>
        <v>224.43733333333333</v>
      </c>
      <c r="E31" s="20">
        <f t="shared" ref="E31" si="34">I31*1</f>
        <v>7.7706666666666671</v>
      </c>
      <c r="F31" s="20">
        <f t="shared" ref="F31:F34" si="35">D31-E31</f>
        <v>216.66666666666666</v>
      </c>
      <c r="G31" s="24"/>
      <c r="H31" s="84">
        <f t="shared" ref="H31" si="36">+O31/30</f>
        <v>224.43733333333333</v>
      </c>
      <c r="I31" s="84">
        <f t="shared" ref="I31" si="37">+P31/30</f>
        <v>7.7706666666666671</v>
      </c>
      <c r="J31" s="84">
        <f t="shared" ref="J31:J32" si="38">SUM(H31-I31)</f>
        <v>216.66666666666666</v>
      </c>
      <c r="K31" s="84"/>
      <c r="L31" s="84" t="s">
        <v>80</v>
      </c>
      <c r="M31" s="84"/>
      <c r="N31" s="84" t="s">
        <v>81</v>
      </c>
      <c r="O31" s="84">
        <v>6733.12</v>
      </c>
      <c r="P31" s="84">
        <v>233.12</v>
      </c>
      <c r="Q31" s="2"/>
      <c r="R31" s="2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20"/>
      <c r="AG31" s="6"/>
      <c r="AH31" s="6"/>
      <c r="AI31" s="20"/>
    </row>
    <row r="32" spans="1:35" s="3" customFormat="1" ht="27" customHeight="1">
      <c r="A32" s="31">
        <v>24</v>
      </c>
      <c r="B32" s="10" t="s">
        <v>5</v>
      </c>
      <c r="C32" s="124" t="s">
        <v>21</v>
      </c>
      <c r="D32" s="20">
        <f>H32*1</f>
        <v>330.4</v>
      </c>
      <c r="E32" s="20">
        <f>I32*1</f>
        <v>34.4</v>
      </c>
      <c r="F32" s="20">
        <f t="shared" si="35"/>
        <v>296</v>
      </c>
      <c r="G32" s="24" t="s">
        <v>18</v>
      </c>
      <c r="H32" s="84">
        <v>330.4</v>
      </c>
      <c r="I32" s="84">
        <v>34.4</v>
      </c>
      <c r="J32" s="84">
        <f t="shared" si="38"/>
        <v>296</v>
      </c>
      <c r="K32" s="84"/>
      <c r="L32" s="84"/>
      <c r="M32" s="84"/>
      <c r="N32" s="84"/>
      <c r="O32" s="84"/>
      <c r="P32" s="84"/>
      <c r="Q32" s="2"/>
      <c r="R32" s="2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20"/>
      <c r="AG32" s="6"/>
      <c r="AH32" s="6"/>
      <c r="AI32" s="20"/>
    </row>
    <row r="33" spans="1:35" s="3" customFormat="1" ht="27" customHeight="1">
      <c r="A33" s="31">
        <v>25</v>
      </c>
      <c r="B33" s="10" t="s">
        <v>82</v>
      </c>
      <c r="C33" s="125" t="s">
        <v>83</v>
      </c>
      <c r="D33" s="20">
        <f>H33*1</f>
        <v>185.5</v>
      </c>
      <c r="E33" s="20">
        <f>I33*1</f>
        <v>2.16</v>
      </c>
      <c r="F33" s="20">
        <f t="shared" si="35"/>
        <v>183.34</v>
      </c>
      <c r="G33" s="24"/>
      <c r="H33" s="95">
        <v>185.5</v>
      </c>
      <c r="I33" s="95">
        <v>2.16</v>
      </c>
      <c r="J33" s="95">
        <f>SUM(H33-I33)</f>
        <v>183.34</v>
      </c>
      <c r="K33" s="95"/>
      <c r="L33" s="95"/>
      <c r="M33" s="95"/>
      <c r="N33" s="95"/>
      <c r="O33" s="95"/>
      <c r="P33" s="95"/>
      <c r="Q33" s="2"/>
      <c r="R33" s="2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20"/>
      <c r="AG33" s="6"/>
      <c r="AH33" s="6"/>
      <c r="AI33" s="20"/>
    </row>
    <row r="34" spans="1:35" s="3" customFormat="1" ht="27" customHeight="1">
      <c r="A34" s="31">
        <v>26</v>
      </c>
      <c r="B34" s="10" t="s">
        <v>84</v>
      </c>
      <c r="C34" s="124" t="s">
        <v>61</v>
      </c>
      <c r="D34" s="20">
        <f>H34*9.368</f>
        <v>2762.7293706666669</v>
      </c>
      <c r="E34" s="20">
        <f>+I34*9.368+0.11</f>
        <v>262.73251199999999</v>
      </c>
      <c r="F34" s="20">
        <f t="shared" si="35"/>
        <v>2499.9968586666669</v>
      </c>
      <c r="G34" s="24" t="s">
        <v>18</v>
      </c>
      <c r="H34" s="84">
        <f>4423.67/15</f>
        <v>294.91133333333335</v>
      </c>
      <c r="I34" s="84">
        <f>420.51/15</f>
        <v>28.033999999999999</v>
      </c>
      <c r="J34" s="84">
        <f t="shared" ref="J34" si="39">SUM(H34-I34)</f>
        <v>266.87733333333335</v>
      </c>
      <c r="K34" s="84"/>
      <c r="L34" s="84"/>
      <c r="M34" s="84"/>
      <c r="N34" s="84"/>
      <c r="O34" s="84"/>
      <c r="P34" s="84"/>
      <c r="Q34" s="2"/>
      <c r="R34" s="2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20"/>
      <c r="AG34" s="6"/>
      <c r="AH34" s="6"/>
      <c r="AI34" s="20"/>
    </row>
    <row r="35" spans="1:35" s="3" customFormat="1" ht="27" customHeight="1">
      <c r="A35" s="31">
        <v>27</v>
      </c>
      <c r="B35" s="10" t="s">
        <v>85</v>
      </c>
      <c r="C35" s="124" t="s">
        <v>86</v>
      </c>
      <c r="D35" s="20">
        <f>H35*2</f>
        <v>992.41599999999994</v>
      </c>
      <c r="E35" s="20">
        <f>I35*2</f>
        <v>125.75</v>
      </c>
      <c r="F35" s="20">
        <f t="shared" ref="F35" si="40">D35-E35</f>
        <v>866.66599999999994</v>
      </c>
      <c r="G35" s="24"/>
      <c r="H35" s="84">
        <f>+O35/30</f>
        <v>496.20799999999997</v>
      </c>
      <c r="I35" s="84">
        <f t="shared" ref="I35" si="41">+P35/30</f>
        <v>62.875</v>
      </c>
      <c r="J35" s="84">
        <f t="shared" ref="J35" si="42">SUM(H35-I35)</f>
        <v>433.33299999999997</v>
      </c>
      <c r="K35" s="84"/>
      <c r="L35" s="84" t="s">
        <v>85</v>
      </c>
      <c r="M35" s="84"/>
      <c r="N35" s="84" t="s">
        <v>86</v>
      </c>
      <c r="O35" s="84">
        <v>14886.24</v>
      </c>
      <c r="P35" s="84">
        <v>1886.25</v>
      </c>
      <c r="Q35" s="2"/>
      <c r="R35" s="2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20"/>
      <c r="AG35" s="6"/>
      <c r="AH35" s="6"/>
      <c r="AI35" s="20"/>
    </row>
    <row r="37" spans="1:35" s="3" customFormat="1" ht="27" customHeight="1">
      <c r="A37" s="9"/>
      <c r="B37" s="10"/>
      <c r="C37" s="126"/>
      <c r="D37" s="4"/>
      <c r="E37" s="4"/>
      <c r="F37" s="4"/>
      <c r="G37" s="24"/>
      <c r="H37" s="84"/>
      <c r="I37" s="84"/>
      <c r="J37" s="84"/>
      <c r="K37" s="84"/>
      <c r="L37" s="84"/>
      <c r="M37" s="84"/>
      <c r="N37" s="84"/>
      <c r="O37" s="84"/>
      <c r="P37" s="84"/>
      <c r="Q37" s="2"/>
      <c r="R37" s="2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20"/>
      <c r="AG37" s="6"/>
      <c r="AH37" s="6"/>
      <c r="AI37" s="20"/>
    </row>
    <row r="38" spans="1:35" s="3" customFormat="1" ht="27" customHeight="1">
      <c r="A38" s="9"/>
      <c r="B38" s="10"/>
      <c r="C38" s="126"/>
      <c r="D38" s="32">
        <f>SUM(D8:D37)</f>
        <v>21841.461367266671</v>
      </c>
      <c r="E38" s="32">
        <f t="shared" ref="E38:F38" si="43">SUM(E8:E37)</f>
        <v>1791.1280491333332</v>
      </c>
      <c r="F38" s="32">
        <f t="shared" si="43"/>
        <v>20050.333318133329</v>
      </c>
      <c r="G38" s="24"/>
      <c r="H38" s="84"/>
      <c r="I38" s="84"/>
      <c r="J38" s="84"/>
      <c r="K38" s="84"/>
      <c r="L38" s="84"/>
      <c r="M38" s="84"/>
      <c r="N38" s="84"/>
      <c r="O38" s="84"/>
      <c r="P38" s="84"/>
      <c r="Q38" s="2"/>
      <c r="R38" s="2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20"/>
      <c r="AG38" s="6"/>
      <c r="AH38" s="6"/>
      <c r="AI38" s="20"/>
    </row>
    <row r="39" spans="1:35" s="3" customFormat="1" ht="27" customHeight="1">
      <c r="A39" s="9"/>
      <c r="B39" s="10" t="s">
        <v>87</v>
      </c>
      <c r="C39" s="124"/>
      <c r="D39" s="4"/>
      <c r="E39" s="4"/>
      <c r="F39" s="4"/>
      <c r="G39" s="24" t="s">
        <v>18</v>
      </c>
      <c r="H39" s="84"/>
      <c r="I39" s="84"/>
      <c r="J39" s="84">
        <f>SUM(H39-I39)</f>
        <v>0</v>
      </c>
      <c r="K39" s="84"/>
      <c r="L39" s="84"/>
      <c r="M39" s="84"/>
      <c r="N39" s="84"/>
      <c r="O39" s="84"/>
      <c r="P39" s="84"/>
      <c r="Q39" s="2"/>
      <c r="R39" s="2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20"/>
      <c r="AG39" s="6"/>
      <c r="AH39" s="6"/>
      <c r="AI39" s="20"/>
    </row>
    <row r="40" spans="1:35" s="3" customFormat="1" ht="27" customHeight="1">
      <c r="A40" s="9"/>
      <c r="B40" s="10" t="s">
        <v>88</v>
      </c>
      <c r="C40" s="126"/>
      <c r="D40" s="4"/>
      <c r="E40" s="4"/>
      <c r="F40" s="4"/>
      <c r="G40" s="24" t="s">
        <v>18</v>
      </c>
      <c r="H40" s="84"/>
      <c r="I40" s="84"/>
      <c r="J40" s="84">
        <f>SUM(H40-I40)</f>
        <v>0</v>
      </c>
      <c r="K40" s="84"/>
      <c r="L40" s="84"/>
      <c r="M40" s="84"/>
      <c r="N40" s="84"/>
      <c r="O40" s="84"/>
      <c r="P40" s="84"/>
      <c r="Q40" s="2"/>
      <c r="R40" s="2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20"/>
      <c r="AG40" s="6"/>
      <c r="AH40" s="6"/>
      <c r="AI40" s="20"/>
    </row>
    <row r="41" spans="1:35" s="3" customFormat="1" ht="27" customHeight="1">
      <c r="A41" s="241" t="s">
        <v>24</v>
      </c>
      <c r="B41" s="242"/>
      <c r="C41" s="242"/>
      <c r="D41" s="242"/>
      <c r="E41" s="242"/>
      <c r="F41" s="242"/>
      <c r="G41" s="243"/>
      <c r="H41" s="91"/>
      <c r="I41" s="91"/>
      <c r="J41" s="91"/>
      <c r="K41" s="91"/>
      <c r="L41" s="91"/>
      <c r="M41" s="91"/>
      <c r="N41" s="91"/>
      <c r="O41" s="91"/>
      <c r="P41" s="91"/>
      <c r="Q41" s="2"/>
      <c r="R41" s="2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20"/>
      <c r="AG41" s="6"/>
      <c r="AH41" s="6"/>
      <c r="AI41" s="20"/>
    </row>
    <row r="42" spans="1:35" s="3" customFormat="1" ht="27" customHeight="1">
      <c r="A42" s="241" t="s">
        <v>102</v>
      </c>
      <c r="B42" s="242"/>
      <c r="C42" s="242"/>
      <c r="D42" s="242"/>
      <c r="E42" s="242"/>
      <c r="F42" s="242"/>
      <c r="G42" s="243"/>
      <c r="H42" s="91"/>
      <c r="I42" s="91"/>
      <c r="J42" s="91"/>
      <c r="K42" s="91"/>
      <c r="L42" s="91"/>
      <c r="M42" s="91"/>
      <c r="N42" s="91"/>
      <c r="O42" s="91"/>
      <c r="P42" s="91"/>
      <c r="Q42" s="2"/>
      <c r="R42" s="2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20"/>
      <c r="AG42" s="6"/>
      <c r="AH42" s="6"/>
      <c r="AI42" s="20"/>
    </row>
    <row r="43" spans="1:35" ht="27" customHeight="1">
      <c r="A43" s="241" t="s">
        <v>103</v>
      </c>
      <c r="B43" s="242"/>
      <c r="C43" s="242"/>
      <c r="D43" s="242"/>
      <c r="E43" s="242"/>
      <c r="F43" s="242"/>
      <c r="G43" s="243"/>
    </row>
    <row r="44" spans="1:35" ht="27" customHeight="1">
      <c r="A44" s="241" t="s">
        <v>27</v>
      </c>
      <c r="B44" s="242"/>
      <c r="C44" s="242"/>
      <c r="D44" s="242"/>
      <c r="E44" s="242"/>
      <c r="F44" s="242"/>
      <c r="G44" s="243"/>
    </row>
    <row r="45" spans="1:35" ht="27" customHeight="1">
      <c r="A45" s="57"/>
      <c r="B45" s="58"/>
      <c r="C45" s="127"/>
      <c r="D45" s="58"/>
      <c r="E45" s="58"/>
      <c r="F45" s="58"/>
      <c r="G45" s="59"/>
    </row>
    <row r="46" spans="1:35" ht="27" customHeight="1">
      <c r="A46" s="57"/>
      <c r="B46" s="33" t="s">
        <v>0</v>
      </c>
      <c r="C46" s="128" t="s">
        <v>6</v>
      </c>
      <c r="D46" s="35" t="s">
        <v>15</v>
      </c>
      <c r="E46" s="36" t="s">
        <v>10</v>
      </c>
      <c r="F46" s="37" t="s">
        <v>16</v>
      </c>
      <c r="G46" s="7" t="s">
        <v>1</v>
      </c>
    </row>
    <row r="47" spans="1:35" ht="27" customHeight="1">
      <c r="C47" s="124" t="s">
        <v>90</v>
      </c>
      <c r="D47" s="28">
        <f t="shared" ref="D47:D48" si="44">+H47</f>
        <v>391.47533333333337</v>
      </c>
      <c r="E47" s="28">
        <f t="shared" ref="E47:E48" si="45">+I47</f>
        <v>40.808666666666667</v>
      </c>
      <c r="F47" s="21">
        <f t="shared" ref="F47:F48" si="46">+D47-E47</f>
        <v>350.66666666666669</v>
      </c>
      <c r="H47" s="84">
        <f>+N47/30</f>
        <v>391.47533333333337</v>
      </c>
      <c r="I47" s="84">
        <f>+O47/30</f>
        <v>40.808666666666667</v>
      </c>
      <c r="J47" s="84">
        <f t="shared" ref="J47:J48" si="47">+H47-I47</f>
        <v>350.66666666666669</v>
      </c>
      <c r="L47" s="84" t="s">
        <v>99</v>
      </c>
      <c r="M47" s="84" t="s">
        <v>90</v>
      </c>
      <c r="N47" s="84">
        <v>11744.26</v>
      </c>
      <c r="O47" s="84">
        <v>1224.26</v>
      </c>
      <c r="Q47" s="6"/>
      <c r="R47" s="6"/>
      <c r="AD47" s="20"/>
      <c r="AF47" s="6"/>
      <c r="AG47" s="20"/>
      <c r="AI47" s="6"/>
    </row>
    <row r="48" spans="1:35" ht="27" customHeight="1">
      <c r="B48" s="60"/>
      <c r="C48" s="124" t="s">
        <v>90</v>
      </c>
      <c r="D48" s="28">
        <f t="shared" si="44"/>
        <v>391.47533333333337</v>
      </c>
      <c r="E48" s="28">
        <f t="shared" si="45"/>
        <v>40.808666666666667</v>
      </c>
      <c r="F48" s="21">
        <f t="shared" si="46"/>
        <v>350.66666666666669</v>
      </c>
      <c r="H48" s="84">
        <f t="shared" ref="H48" si="48">+N48/30</f>
        <v>391.47533333333337</v>
      </c>
      <c r="I48" s="84">
        <f t="shared" ref="I48" si="49">+O48/30</f>
        <v>40.808666666666667</v>
      </c>
      <c r="J48" s="84">
        <f t="shared" si="47"/>
        <v>350.66666666666669</v>
      </c>
      <c r="L48" s="84" t="s">
        <v>91</v>
      </c>
      <c r="M48" s="84" t="s">
        <v>90</v>
      </c>
      <c r="N48" s="84">
        <v>11744.26</v>
      </c>
      <c r="O48" s="84">
        <v>1224.26</v>
      </c>
      <c r="R48" s="6"/>
      <c r="AE48" s="20"/>
      <c r="AF48" s="6"/>
      <c r="AH48" s="20"/>
      <c r="AI48" s="6"/>
    </row>
    <row r="51" spans="2:6" ht="27" customHeight="1">
      <c r="C51" s="129" t="s">
        <v>101</v>
      </c>
      <c r="D51" s="61">
        <f>SUM(D47:D50)</f>
        <v>782.95066666666673</v>
      </c>
      <c r="E51" s="61">
        <f t="shared" ref="E51:F51" si="50">SUM(E47:E50)</f>
        <v>81.617333333333335</v>
      </c>
      <c r="F51" s="61">
        <f t="shared" si="50"/>
        <v>701.33333333333337</v>
      </c>
    </row>
    <row r="53" spans="2:6" ht="27" customHeight="1">
      <c r="B53" s="10" t="s">
        <v>104</v>
      </c>
    </row>
  </sheetData>
  <mergeCells count="8">
    <mergeCell ref="A42:G42"/>
    <mergeCell ref="A43:G43"/>
    <mergeCell ref="A44:G44"/>
    <mergeCell ref="A1:G1"/>
    <mergeCell ref="A2:G2"/>
    <mergeCell ref="A3:G3"/>
    <mergeCell ref="A4:G4"/>
    <mergeCell ref="A41:G41"/>
  </mergeCells>
  <pageMargins left="0.23622047244094491" right="0.23622047244094491" top="0.74803149606299213" bottom="0.74803149606299213" header="0.31496062992125984" footer="0.31496062992125984"/>
  <pageSetup scale="7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workbookViewId="0">
      <selection activeCell="C37" sqref="C37"/>
    </sheetView>
  </sheetViews>
  <sheetFormatPr baseColWidth="10" defaultRowHeight="27" customHeight="1"/>
  <cols>
    <col min="1" max="1" width="2.42578125" style="9" bestFit="1" customWidth="1"/>
    <col min="2" max="2" width="33.85546875" style="10" customWidth="1"/>
    <col min="3" max="3" width="34.28515625" style="115" bestFit="1" customWidth="1"/>
    <col min="4" max="4" width="9.7109375" style="6" customWidth="1"/>
    <col min="5" max="5" width="7.85546875" style="6" customWidth="1"/>
    <col min="6" max="6" width="20" style="6" bestFit="1" customWidth="1"/>
    <col min="7" max="7" width="37" style="6" customWidth="1"/>
    <col min="8" max="8" width="1.5703125" style="84" customWidth="1"/>
    <col min="9" max="9" width="1.5703125" style="91" customWidth="1"/>
    <col min="10" max="10" width="1.5703125" style="86" customWidth="1"/>
    <col min="11" max="11" width="1.5703125" style="87" customWidth="1"/>
    <col min="12" max="12" width="10.7109375" style="109" customWidth="1"/>
    <col min="13" max="13" width="9.7109375" style="2" customWidth="1"/>
    <col min="14" max="14" width="8" style="1" customWidth="1"/>
    <col min="15" max="15" width="11.28515625" style="3" customWidth="1"/>
    <col min="16" max="16" width="33.140625" style="3" customWidth="1"/>
    <col min="17" max="18" width="11.7109375" style="2" customWidth="1"/>
    <col min="19" max="19" width="6.85546875" style="6" customWidth="1"/>
    <col min="20" max="20" width="13.85546875" style="6" customWidth="1"/>
    <col min="21" max="21" width="11.7109375" style="6" customWidth="1"/>
    <col min="22" max="22" width="43.42578125" style="6" customWidth="1"/>
    <col min="23" max="31" width="11.7109375" style="6" customWidth="1"/>
    <col min="32" max="32" width="11.7109375" style="20" customWidth="1"/>
    <col min="33" max="34" width="11.7109375" style="6" customWidth="1"/>
    <col min="35" max="35" width="11.7109375" style="20" customWidth="1"/>
    <col min="36" max="36" width="11.7109375" style="6" customWidth="1"/>
    <col min="37" max="37" width="2.28515625" style="6" customWidth="1"/>
    <col min="38" max="38" width="15.5703125" style="6" customWidth="1"/>
    <col min="39" max="39" width="11.42578125" style="6" customWidth="1"/>
    <col min="40" max="40" width="11.42578125" style="6"/>
    <col min="41" max="41" width="11.42578125" style="6" customWidth="1"/>
    <col min="42" max="42" width="42.28515625" style="6" customWidth="1"/>
    <col min="43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25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50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s="17" customFormat="1" ht="27" customHeight="1">
      <c r="A7" s="31"/>
      <c r="B7" s="23"/>
      <c r="C7" s="100"/>
      <c r="D7" s="1"/>
      <c r="E7" s="3"/>
      <c r="F7" s="3"/>
      <c r="G7" s="7"/>
      <c r="H7" s="84"/>
      <c r="I7" s="85"/>
      <c r="J7" s="86"/>
      <c r="K7" s="87"/>
      <c r="L7" s="108"/>
      <c r="M7" s="2"/>
      <c r="N7" s="1"/>
      <c r="O7" s="3"/>
      <c r="P7" s="7"/>
      <c r="Q7" s="15"/>
      <c r="R7" s="16"/>
      <c r="AF7" s="18"/>
      <c r="AI7" s="18"/>
    </row>
    <row r="8" spans="1:35" ht="27" customHeight="1">
      <c r="A8" s="31"/>
      <c r="B8" s="6"/>
      <c r="C8" s="113"/>
      <c r="D8" s="20"/>
      <c r="E8" s="20"/>
      <c r="F8" s="20"/>
      <c r="G8" s="24"/>
      <c r="H8" s="88"/>
      <c r="I8" s="89"/>
      <c r="J8" s="90"/>
      <c r="M8" s="11"/>
      <c r="N8" s="9"/>
      <c r="O8" s="12"/>
      <c r="P8" s="12"/>
      <c r="Q8" s="25"/>
      <c r="R8" s="25"/>
      <c r="S8" s="19"/>
      <c r="T8" s="2"/>
      <c r="U8" s="2"/>
      <c r="V8" s="3"/>
    </row>
    <row r="9" spans="1:35" ht="27" customHeight="1">
      <c r="A9" s="31">
        <v>1</v>
      </c>
      <c r="B9" s="10" t="s">
        <v>338</v>
      </c>
      <c r="C9" s="113" t="s">
        <v>26</v>
      </c>
      <c r="D9" s="20">
        <f>H9*2</f>
        <v>728</v>
      </c>
      <c r="E9" s="20">
        <f>I9*2</f>
        <v>69.28</v>
      </c>
      <c r="F9" s="20">
        <f t="shared" ref="F9:F19" si="0">D9-E9</f>
        <v>658.72</v>
      </c>
      <c r="G9" s="24" t="s">
        <v>18</v>
      </c>
      <c r="H9" s="84">
        <f>364*1</f>
        <v>364</v>
      </c>
      <c r="I9" s="91">
        <f>34.64*1</f>
        <v>34.64</v>
      </c>
      <c r="J9" s="86">
        <f t="shared" ref="J9:J19" si="1">SUM(H9-I9)</f>
        <v>329.36</v>
      </c>
      <c r="M9" s="11"/>
      <c r="N9" s="9"/>
      <c r="O9" s="12"/>
      <c r="P9" s="12"/>
      <c r="Q9" s="25"/>
      <c r="R9" s="25"/>
      <c r="S9" s="19"/>
      <c r="T9" s="2"/>
      <c r="U9" s="2"/>
      <c r="V9" s="3"/>
    </row>
    <row r="10" spans="1:35" s="3" customFormat="1" ht="27" customHeight="1">
      <c r="A10" s="31">
        <v>2</v>
      </c>
      <c r="B10" s="10" t="s">
        <v>41</v>
      </c>
      <c r="C10" s="114" t="s">
        <v>12</v>
      </c>
      <c r="D10" s="4">
        <f t="shared" ref="D10:E10" si="2">H10*1</f>
        <v>330.4</v>
      </c>
      <c r="E10" s="4">
        <f t="shared" si="2"/>
        <v>34.4</v>
      </c>
      <c r="F10" s="2">
        <f t="shared" si="0"/>
        <v>296</v>
      </c>
      <c r="G10" s="24" t="s">
        <v>18</v>
      </c>
      <c r="H10" s="95">
        <f>4956/15</f>
        <v>330.4</v>
      </c>
      <c r="I10" s="95">
        <f>516/15</f>
        <v>34.4</v>
      </c>
      <c r="J10" s="86">
        <f t="shared" ref="J10" si="3">SUM(H10-I10)</f>
        <v>296</v>
      </c>
      <c r="K10" s="87"/>
      <c r="L10" s="110"/>
      <c r="M10" s="4"/>
      <c r="N10" s="4"/>
      <c r="O10" s="4"/>
      <c r="Q10" s="2"/>
      <c r="R10" s="2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0"/>
      <c r="AG10" s="6"/>
      <c r="AH10" s="6"/>
      <c r="AI10" s="20"/>
    </row>
    <row r="11" spans="1:35" s="3" customFormat="1" ht="27" customHeight="1">
      <c r="A11" s="31">
        <v>3</v>
      </c>
      <c r="B11" s="10" t="s">
        <v>14</v>
      </c>
      <c r="C11" s="115" t="s">
        <v>23</v>
      </c>
      <c r="D11" s="20">
        <f>H11*2</f>
        <v>934.3</v>
      </c>
      <c r="E11" s="20">
        <f>I11*2</f>
        <v>114.52666666666667</v>
      </c>
      <c r="F11" s="20">
        <f t="shared" si="0"/>
        <v>819.77333333333331</v>
      </c>
      <c r="G11" s="24" t="s">
        <v>18</v>
      </c>
      <c r="H11" s="84">
        <f>7007.25/15</f>
        <v>467.15</v>
      </c>
      <c r="I11" s="91">
        <f>858.95/15</f>
        <v>57.263333333333335</v>
      </c>
      <c r="J11" s="86">
        <f t="shared" ref="J11:J12" si="4">SUM(H11-I11)</f>
        <v>409.88666666666666</v>
      </c>
      <c r="K11" s="94"/>
      <c r="L11" s="98"/>
      <c r="M11" s="2"/>
      <c r="N11" s="1"/>
      <c r="Q11" s="2"/>
      <c r="R11" s="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0"/>
      <c r="AG11" s="6"/>
      <c r="AH11" s="6"/>
      <c r="AI11" s="20"/>
    </row>
    <row r="12" spans="1:35" s="3" customFormat="1" ht="27" customHeight="1">
      <c r="A12" s="31">
        <v>4</v>
      </c>
      <c r="B12" s="10" t="s">
        <v>7</v>
      </c>
      <c r="C12" s="115" t="s">
        <v>20</v>
      </c>
      <c r="D12" s="20">
        <f>H12*2</f>
        <v>934.3</v>
      </c>
      <c r="E12" s="20">
        <f>I12*2</f>
        <v>114.52666666666667</v>
      </c>
      <c r="F12" s="20">
        <f t="shared" si="0"/>
        <v>819.77333333333331</v>
      </c>
      <c r="G12" s="24" t="s">
        <v>18</v>
      </c>
      <c r="H12" s="84">
        <f>7007.25/15</f>
        <v>467.15</v>
      </c>
      <c r="I12" s="91">
        <f>858.95/15</f>
        <v>57.263333333333335</v>
      </c>
      <c r="J12" s="86">
        <f t="shared" si="4"/>
        <v>409.88666666666666</v>
      </c>
      <c r="K12" s="87"/>
      <c r="L12" s="98"/>
      <c r="M12" s="2"/>
      <c r="N12" s="1"/>
      <c r="Q12" s="2"/>
      <c r="R12" s="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0"/>
      <c r="AG12" s="6"/>
      <c r="AH12" s="6"/>
      <c r="AI12" s="20"/>
    </row>
    <row r="13" spans="1:35" s="3" customFormat="1" ht="27" customHeight="1">
      <c r="A13" s="31">
        <v>5</v>
      </c>
      <c r="B13" s="10" t="s">
        <v>42</v>
      </c>
      <c r="C13" s="115" t="s">
        <v>43</v>
      </c>
      <c r="D13" s="20">
        <f>H13/6*27</f>
        <v>834.74099999999987</v>
      </c>
      <c r="E13" s="20">
        <f>I13/6*27</f>
        <v>9.7410000000000014</v>
      </c>
      <c r="F13" s="20">
        <f t="shared" si="0"/>
        <v>824.99999999999989</v>
      </c>
      <c r="G13" s="24" t="s">
        <v>18</v>
      </c>
      <c r="H13" s="84">
        <f>5564.94/30</f>
        <v>185.49799999999999</v>
      </c>
      <c r="I13" s="91">
        <f>64.94/30</f>
        <v>2.1646666666666667</v>
      </c>
      <c r="J13" s="86">
        <f t="shared" si="1"/>
        <v>183.33333333333331</v>
      </c>
      <c r="K13" s="111"/>
      <c r="L13" s="98"/>
      <c r="M13" s="98"/>
      <c r="N13" s="98"/>
      <c r="O13" s="98"/>
      <c r="P13" s="98"/>
      <c r="Q13" s="2"/>
      <c r="R13" s="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0"/>
      <c r="AG13" s="6"/>
      <c r="AH13" s="6"/>
      <c r="AI13" s="20"/>
    </row>
    <row r="14" spans="1:35" s="3" customFormat="1" ht="27" customHeight="1">
      <c r="A14" s="31">
        <v>6</v>
      </c>
      <c r="B14" s="10" t="s">
        <v>44</v>
      </c>
      <c r="C14" s="115" t="s">
        <v>45</v>
      </c>
      <c r="D14" s="20">
        <f>H14/6*19</f>
        <v>646.63122222222216</v>
      </c>
      <c r="E14" s="20">
        <f>I14/6*19</f>
        <v>13.297888888888888</v>
      </c>
      <c r="F14" s="20">
        <f t="shared" si="0"/>
        <v>633.33333333333326</v>
      </c>
      <c r="G14" s="24" t="s">
        <v>18</v>
      </c>
      <c r="H14" s="84">
        <f>6125.98/30</f>
        <v>204.19933333333333</v>
      </c>
      <c r="I14" s="91">
        <f>125.98/30</f>
        <v>4.1993333333333336</v>
      </c>
      <c r="J14" s="86">
        <f t="shared" si="1"/>
        <v>200</v>
      </c>
      <c r="K14" s="111"/>
      <c r="L14" s="98"/>
      <c r="M14" s="98"/>
      <c r="N14" s="98"/>
      <c r="O14" s="98"/>
      <c r="P14" s="98"/>
      <c r="Q14" s="2"/>
      <c r="R14" s="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0"/>
      <c r="AG14" s="6"/>
      <c r="AH14" s="6"/>
      <c r="AI14" s="20"/>
    </row>
    <row r="15" spans="1:35" s="3" customFormat="1" ht="27" customHeight="1">
      <c r="A15" s="31">
        <v>7</v>
      </c>
      <c r="B15" s="10" t="s">
        <v>46</v>
      </c>
      <c r="C15" s="114" t="s">
        <v>47</v>
      </c>
      <c r="D15" s="4">
        <f>H15/6*20</f>
        <v>618.3266666666666</v>
      </c>
      <c r="E15" s="4">
        <f>I15/6*20</f>
        <v>7.2155555555555564</v>
      </c>
      <c r="F15" s="2">
        <f t="shared" si="0"/>
        <v>611.11111111111109</v>
      </c>
      <c r="G15" s="24" t="s">
        <v>18</v>
      </c>
      <c r="H15" s="95">
        <f>5564.94/30</f>
        <v>185.49799999999999</v>
      </c>
      <c r="I15" s="95">
        <f>64.94/30</f>
        <v>2.1646666666666667</v>
      </c>
      <c r="J15" s="86">
        <f t="shared" si="1"/>
        <v>183.33333333333331</v>
      </c>
      <c r="K15" s="111"/>
      <c r="L15" s="98"/>
      <c r="M15" s="98"/>
      <c r="N15" s="98"/>
      <c r="O15" s="98"/>
      <c r="P15" s="98"/>
      <c r="Q15" s="2"/>
      <c r="R15" s="2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20"/>
      <c r="AG15" s="6"/>
      <c r="AH15" s="6"/>
      <c r="AI15" s="20"/>
    </row>
    <row r="16" spans="1:35" s="3" customFormat="1" ht="27" customHeight="1">
      <c r="A16" s="31">
        <v>8</v>
      </c>
      <c r="B16" s="10" t="s">
        <v>48</v>
      </c>
      <c r="C16" s="115" t="s">
        <v>49</v>
      </c>
      <c r="D16" s="20">
        <f>H16/6*15</f>
        <v>814.8</v>
      </c>
      <c r="E16" s="20">
        <f>I16/6*15</f>
        <v>73.058333333333337</v>
      </c>
      <c r="F16" s="20">
        <f t="shared" si="0"/>
        <v>741.74166666666656</v>
      </c>
      <c r="G16" s="24" t="s">
        <v>18</v>
      </c>
      <c r="H16" s="84">
        <f>9777.6/30</f>
        <v>325.92</v>
      </c>
      <c r="I16" s="91">
        <f>876.7/30</f>
        <v>29.223333333333336</v>
      </c>
      <c r="J16" s="86">
        <f t="shared" si="1"/>
        <v>296.69666666666666</v>
      </c>
      <c r="K16" s="111"/>
      <c r="L16" s="98"/>
      <c r="M16" s="98"/>
      <c r="N16" s="98"/>
      <c r="O16" s="98"/>
      <c r="P16" s="98"/>
      <c r="Q16" s="2"/>
      <c r="R16" s="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20"/>
      <c r="AG16" s="6"/>
      <c r="AH16" s="6"/>
      <c r="AI16" s="20"/>
    </row>
    <row r="17" spans="1:35" s="3" customFormat="1" ht="27" customHeight="1">
      <c r="A17" s="31">
        <v>9</v>
      </c>
      <c r="B17" s="10" t="s">
        <v>36</v>
      </c>
      <c r="C17" s="115" t="s">
        <v>37</v>
      </c>
      <c r="D17" s="28">
        <f>H17*3.06635</f>
        <v>1110.2108579333333</v>
      </c>
      <c r="E17" s="28">
        <f>I17*3.06635</f>
        <v>110.21484016666668</v>
      </c>
      <c r="F17" s="21">
        <f t="shared" si="0"/>
        <v>999.99601776666657</v>
      </c>
      <c r="G17" s="24" t="s">
        <v>18</v>
      </c>
      <c r="H17" s="84">
        <f>5430.94/15</f>
        <v>362.06266666666664</v>
      </c>
      <c r="I17" s="91">
        <f>539.15/15</f>
        <v>35.943333333333335</v>
      </c>
      <c r="J17" s="86">
        <f t="shared" si="1"/>
        <v>326.11933333333332</v>
      </c>
      <c r="K17" s="96"/>
      <c r="L17" s="98"/>
      <c r="M17" s="2"/>
      <c r="N17" s="1"/>
      <c r="Q17" s="2"/>
      <c r="R17" s="2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20"/>
      <c r="AG17" s="6"/>
      <c r="AH17" s="6"/>
      <c r="AI17" s="20"/>
    </row>
    <row r="18" spans="1:35" s="3" customFormat="1" ht="27" customHeight="1">
      <c r="A18" s="31">
        <v>10</v>
      </c>
      <c r="B18" s="10" t="s">
        <v>38</v>
      </c>
      <c r="C18" s="114" t="s">
        <v>37</v>
      </c>
      <c r="D18" s="20">
        <f>H18*6.28773</f>
        <v>2214.9660716400003</v>
      </c>
      <c r="E18" s="20">
        <f>I18*6.28773</f>
        <v>214.96491324000002</v>
      </c>
      <c r="F18" s="2">
        <f t="shared" si="0"/>
        <v>2000.0011584000003</v>
      </c>
      <c r="G18" s="24" t="s">
        <v>18</v>
      </c>
      <c r="H18" s="84">
        <f>5284.02/15</f>
        <v>352.26800000000003</v>
      </c>
      <c r="I18" s="91">
        <f>512.82/15</f>
        <v>34.188000000000002</v>
      </c>
      <c r="J18" s="86">
        <f t="shared" si="1"/>
        <v>318.08000000000004</v>
      </c>
      <c r="K18" s="93">
        <f>2000/J18</f>
        <v>6.2877263581488929</v>
      </c>
      <c r="L18" s="98"/>
      <c r="M18" s="2"/>
      <c r="N18" s="1"/>
      <c r="Q18" s="2"/>
      <c r="R18" s="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20"/>
      <c r="AG18" s="6"/>
      <c r="AH18" s="6"/>
      <c r="AI18" s="20"/>
    </row>
    <row r="19" spans="1:35" s="3" customFormat="1" ht="27" customHeight="1">
      <c r="A19" s="31">
        <v>11</v>
      </c>
      <c r="B19" s="27" t="s">
        <v>39</v>
      </c>
      <c r="C19" s="115" t="s">
        <v>40</v>
      </c>
      <c r="D19" s="20">
        <f>H19*3.77751</f>
        <v>1104.1208428799998</v>
      </c>
      <c r="E19" s="20">
        <f>I19*3.77751</f>
        <v>104.12328563999999</v>
      </c>
      <c r="F19" s="20">
        <f t="shared" si="0"/>
        <v>999.99755723999988</v>
      </c>
      <c r="G19" s="24" t="s">
        <v>18</v>
      </c>
      <c r="H19" s="84">
        <f>4384.32/15</f>
        <v>292.28799999999995</v>
      </c>
      <c r="I19" s="91">
        <f>413.46/15</f>
        <v>27.564</v>
      </c>
      <c r="J19" s="86">
        <f t="shared" si="1"/>
        <v>264.72399999999993</v>
      </c>
      <c r="K19" s="96">
        <f>1000/J19</f>
        <v>3.7775192275728693</v>
      </c>
      <c r="L19" s="98"/>
      <c r="M19" s="2"/>
      <c r="N19" s="1"/>
      <c r="Q19" s="2"/>
      <c r="R19" s="2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20"/>
      <c r="AG19" s="6"/>
      <c r="AH19" s="6"/>
      <c r="AI19" s="20"/>
    </row>
    <row r="21" spans="1:35" s="3" customFormat="1" ht="27" customHeight="1">
      <c r="A21" s="9"/>
      <c r="B21" s="10"/>
      <c r="C21" s="116"/>
      <c r="D21" s="4"/>
      <c r="E21" s="4"/>
      <c r="F21" s="4"/>
      <c r="G21" s="24"/>
      <c r="H21" s="84"/>
      <c r="I21" s="91"/>
      <c r="J21" s="86"/>
      <c r="K21" s="87"/>
      <c r="L21" s="110"/>
      <c r="M21" s="4"/>
      <c r="N21" s="4"/>
      <c r="O21" s="4"/>
      <c r="Q21" s="2"/>
      <c r="R21" s="2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20"/>
      <c r="AG21" s="6"/>
      <c r="AH21" s="6"/>
      <c r="AI21" s="20"/>
    </row>
    <row r="22" spans="1:35" s="3" customFormat="1" ht="27" customHeight="1">
      <c r="A22" s="9"/>
      <c r="B22" s="10"/>
      <c r="C22" s="116"/>
      <c r="D22" s="32">
        <f>SUM(D8:D21)</f>
        <v>10270.796661342223</v>
      </c>
      <c r="E22" s="32">
        <f>SUM(E8:E21)</f>
        <v>865.34915015777779</v>
      </c>
      <c r="F22" s="32">
        <f>SUM(F8:F21)</f>
        <v>9405.447511184444</v>
      </c>
      <c r="G22" s="24"/>
      <c r="H22" s="84"/>
      <c r="I22" s="91"/>
      <c r="J22" s="86"/>
      <c r="K22" s="87"/>
      <c r="L22" s="110"/>
      <c r="M22" s="4"/>
      <c r="N22" s="4"/>
      <c r="O22" s="4"/>
      <c r="Q22" s="2"/>
      <c r="R22" s="2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20"/>
      <c r="AG22" s="6"/>
      <c r="AH22" s="6"/>
      <c r="AI22" s="20"/>
    </row>
    <row r="23" spans="1:35" s="3" customFormat="1" ht="27" customHeight="1">
      <c r="A23" s="9"/>
      <c r="B23" s="10" t="s">
        <v>51</v>
      </c>
      <c r="C23" s="115"/>
      <c r="D23" s="4"/>
      <c r="E23" s="4"/>
      <c r="F23" s="4"/>
      <c r="G23" s="24" t="s">
        <v>18</v>
      </c>
      <c r="H23" s="84"/>
      <c r="I23" s="91"/>
      <c r="J23" s="86">
        <f>SUM(H23-I23)</f>
        <v>0</v>
      </c>
      <c r="K23" s="87"/>
      <c r="L23" s="110"/>
      <c r="M23" s="4"/>
      <c r="N23" s="5"/>
      <c r="Q23" s="2"/>
      <c r="R23" s="2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20"/>
      <c r="AG23" s="6"/>
      <c r="AH23" s="6"/>
      <c r="AI23" s="20"/>
    </row>
    <row r="24" spans="1:35" s="3" customFormat="1" ht="27" customHeight="1">
      <c r="A24" s="9"/>
      <c r="B24" s="10" t="s">
        <v>52</v>
      </c>
      <c r="C24" s="116"/>
      <c r="D24" s="4"/>
      <c r="E24" s="4"/>
      <c r="F24" s="4"/>
      <c r="G24" s="24" t="s">
        <v>18</v>
      </c>
      <c r="H24" s="84"/>
      <c r="I24" s="91"/>
      <c r="J24" s="86">
        <f>SUM(H24-I24)</f>
        <v>0</v>
      </c>
      <c r="K24" s="87"/>
      <c r="L24" s="109"/>
      <c r="M24" s="2"/>
      <c r="N24" s="1"/>
      <c r="Q24" s="2"/>
      <c r="R24" s="2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20"/>
      <c r="AG24" s="6"/>
      <c r="AH24" s="6"/>
      <c r="AI24" s="20"/>
    </row>
    <row r="25" spans="1:35" s="3" customFormat="1" ht="27" customHeight="1">
      <c r="A25" s="9"/>
      <c r="B25" s="10"/>
      <c r="C25" s="116"/>
      <c r="D25" s="28"/>
      <c r="E25" s="28"/>
      <c r="F25" s="21"/>
      <c r="G25" s="24" t="s">
        <v>18</v>
      </c>
      <c r="H25" s="91"/>
      <c r="I25" s="91"/>
      <c r="J25" s="86"/>
      <c r="K25" s="98"/>
      <c r="L25" s="98"/>
      <c r="M25" s="2"/>
      <c r="N25" s="1"/>
      <c r="Q25" s="2"/>
      <c r="R25" s="2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20"/>
      <c r="AG25" s="6"/>
      <c r="AH25" s="6"/>
      <c r="AI25" s="20"/>
    </row>
    <row r="26" spans="1:35" s="3" customFormat="1" ht="27" customHeight="1">
      <c r="A26" s="9"/>
      <c r="B26" s="10"/>
      <c r="C26" s="116"/>
      <c r="D26" s="4"/>
      <c r="E26" s="4"/>
      <c r="F26" s="4"/>
      <c r="G26" s="24" t="s">
        <v>18</v>
      </c>
      <c r="H26" s="91"/>
      <c r="I26" s="91"/>
      <c r="J26" s="86"/>
      <c r="K26" s="98"/>
      <c r="L26" s="96"/>
      <c r="M26" s="2"/>
      <c r="N26" s="1"/>
      <c r="Q26" s="2"/>
      <c r="R26" s="2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20"/>
      <c r="AG26" s="6"/>
      <c r="AH26" s="6"/>
      <c r="AI26" s="20"/>
    </row>
  </sheetData>
  <mergeCells count="4">
    <mergeCell ref="A1:G1"/>
    <mergeCell ref="A2:G2"/>
    <mergeCell ref="A3:G3"/>
    <mergeCell ref="A4:G4"/>
  </mergeCells>
  <pageMargins left="0.23622047244094491" right="0.23622047244094491" top="0.74803149606299213" bottom="0.74803149606299213" header="0.31496062992125984" footer="0.31496062992125984"/>
  <pageSetup scale="81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0"/>
  <sheetViews>
    <sheetView workbookViewId="0">
      <selection activeCell="C48" sqref="C48"/>
    </sheetView>
  </sheetViews>
  <sheetFormatPr baseColWidth="10" defaultRowHeight="27" customHeight="1"/>
  <cols>
    <col min="1" max="1" width="2.42578125" style="9" bestFit="1" customWidth="1"/>
    <col min="2" max="2" width="33.85546875" style="10" customWidth="1"/>
    <col min="3" max="3" width="37.7109375" style="104" bestFit="1" customWidth="1"/>
    <col min="4" max="4" width="9.7109375" style="6" customWidth="1"/>
    <col min="5" max="5" width="7.85546875" style="6" customWidth="1"/>
    <col min="6" max="6" width="20" style="6" bestFit="1" customWidth="1"/>
    <col min="7" max="7" width="37" style="6" customWidth="1"/>
    <col min="8" max="8" width="1.42578125" style="84" customWidth="1"/>
    <col min="9" max="9" width="1.42578125" style="91" customWidth="1"/>
    <col min="10" max="10" width="1.42578125" style="86" customWidth="1"/>
    <col min="11" max="11" width="1.42578125" style="87" customWidth="1"/>
    <col min="12" max="12" width="10.7109375" style="13" customWidth="1"/>
    <col min="13" max="13" width="9.7109375" style="2" customWidth="1"/>
    <col min="14" max="14" width="8" style="1" customWidth="1"/>
    <col min="15" max="15" width="11.28515625" style="3" customWidth="1"/>
    <col min="16" max="16" width="33.140625" style="3" customWidth="1"/>
    <col min="17" max="18" width="11.7109375" style="2" customWidth="1"/>
    <col min="19" max="19" width="6.85546875" style="6" customWidth="1"/>
    <col min="20" max="20" width="13.85546875" style="6" customWidth="1"/>
    <col min="21" max="21" width="11.7109375" style="6" customWidth="1"/>
    <col min="22" max="22" width="43.42578125" style="6" customWidth="1"/>
    <col min="23" max="31" width="11.7109375" style="6" customWidth="1"/>
    <col min="32" max="32" width="11.7109375" style="20" customWidth="1"/>
    <col min="33" max="34" width="11.7109375" style="6" customWidth="1"/>
    <col min="35" max="35" width="11.7109375" style="20" customWidth="1"/>
    <col min="36" max="36" width="11.7109375" style="6" customWidth="1"/>
    <col min="37" max="37" width="2.28515625" style="6" customWidth="1"/>
    <col min="38" max="38" width="15.5703125" style="6" customWidth="1"/>
    <col min="39" max="39" width="11.42578125" style="6" customWidth="1"/>
    <col min="40" max="40" width="11.42578125" style="6"/>
    <col min="41" max="41" width="11.42578125" style="6" customWidth="1"/>
    <col min="42" max="42" width="42.28515625" style="6" customWidth="1"/>
    <col min="43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25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35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s="17" customFormat="1" ht="27" customHeight="1">
      <c r="A7" s="31"/>
      <c r="B7" s="23"/>
      <c r="C7" s="101"/>
      <c r="D7" s="1"/>
      <c r="E7" s="3"/>
      <c r="F7" s="3"/>
      <c r="G7" s="7"/>
      <c r="H7" s="84"/>
      <c r="I7" s="85"/>
      <c r="J7" s="86"/>
      <c r="K7" s="87"/>
      <c r="L7" s="22"/>
      <c r="M7" s="2"/>
      <c r="N7" s="1"/>
      <c r="O7" s="3"/>
      <c r="P7" s="7"/>
      <c r="Q7" s="15"/>
      <c r="R7" s="16"/>
      <c r="AF7" s="18"/>
      <c r="AI7" s="18"/>
    </row>
    <row r="8" spans="1:35" ht="27" customHeight="1">
      <c r="A8" s="31"/>
      <c r="B8" s="6"/>
      <c r="C8" s="8"/>
      <c r="D8" s="20"/>
      <c r="E8" s="20"/>
      <c r="F8" s="20"/>
      <c r="G8" s="24"/>
      <c r="H8" s="88"/>
      <c r="I8" s="89"/>
      <c r="J8" s="90"/>
      <c r="M8" s="11"/>
      <c r="N8" s="9"/>
      <c r="O8" s="12"/>
      <c r="P8" s="12"/>
      <c r="Q8" s="25"/>
      <c r="R8" s="25"/>
      <c r="S8" s="19"/>
      <c r="T8" s="2"/>
      <c r="U8" s="2"/>
      <c r="V8" s="3"/>
    </row>
    <row r="9" spans="1:35" ht="27" customHeight="1">
      <c r="A9" s="31">
        <v>1</v>
      </c>
      <c r="B9" s="10" t="s">
        <v>337</v>
      </c>
      <c r="C9" s="8" t="s">
        <v>26</v>
      </c>
      <c r="D9" s="20">
        <f>H9*4</f>
        <v>1456</v>
      </c>
      <c r="E9" s="20">
        <f>I9*4</f>
        <v>138.56</v>
      </c>
      <c r="F9" s="20">
        <f t="shared" ref="F9:F20" si="0">D9-E9</f>
        <v>1317.44</v>
      </c>
      <c r="G9" s="24" t="s">
        <v>18</v>
      </c>
      <c r="H9" s="84">
        <f>364*1</f>
        <v>364</v>
      </c>
      <c r="I9" s="91">
        <f>34.64*1</f>
        <v>34.64</v>
      </c>
      <c r="J9" s="86">
        <f t="shared" ref="J9:J16" si="1">SUM(H9-I9)</f>
        <v>329.36</v>
      </c>
      <c r="K9" s="87" t="s">
        <v>28</v>
      </c>
      <c r="M9" s="11"/>
      <c r="N9" s="9"/>
      <c r="O9" s="12"/>
      <c r="P9" s="12"/>
      <c r="Q9" s="25"/>
      <c r="R9" s="25"/>
      <c r="S9" s="19"/>
      <c r="T9" s="2"/>
      <c r="U9" s="2"/>
      <c r="V9" s="3"/>
    </row>
    <row r="10" spans="1:35" ht="27" customHeight="1">
      <c r="A10" s="31">
        <v>2</v>
      </c>
      <c r="B10" s="10" t="s">
        <v>29</v>
      </c>
      <c r="C10" s="8" t="s">
        <v>30</v>
      </c>
      <c r="D10" s="20">
        <f>H10</f>
        <v>364</v>
      </c>
      <c r="E10" s="20">
        <f>I10</f>
        <v>34.64</v>
      </c>
      <c r="F10" s="20">
        <f t="shared" ref="F10:F14" si="2">D10-E10</f>
        <v>329.36</v>
      </c>
      <c r="G10" s="24"/>
      <c r="H10" s="84">
        <f>364*1</f>
        <v>364</v>
      </c>
      <c r="I10" s="91">
        <f>34.64*1</f>
        <v>34.64</v>
      </c>
      <c r="J10" s="86">
        <f t="shared" ref="J10" si="3">SUM(H10-I10)</f>
        <v>329.36</v>
      </c>
      <c r="K10" s="87">
        <v>35202</v>
      </c>
      <c r="M10" s="11"/>
      <c r="N10" s="9"/>
      <c r="O10" s="12"/>
      <c r="P10" s="12"/>
      <c r="Q10" s="25"/>
      <c r="R10" s="25"/>
      <c r="S10" s="19"/>
      <c r="T10" s="2"/>
      <c r="U10" s="2"/>
      <c r="V10" s="3"/>
    </row>
    <row r="11" spans="1:35" s="3" customFormat="1" ht="27" customHeight="1">
      <c r="A11" s="31">
        <v>3</v>
      </c>
      <c r="B11" s="10" t="s">
        <v>17</v>
      </c>
      <c r="C11" s="102" t="s">
        <v>19</v>
      </c>
      <c r="D11" s="20">
        <v>3366.57</v>
      </c>
      <c r="E11" s="20">
        <v>116.57</v>
      </c>
      <c r="F11" s="20">
        <f t="shared" si="2"/>
        <v>3250</v>
      </c>
      <c r="G11" s="24" t="s">
        <v>18</v>
      </c>
      <c r="H11" s="41">
        <f>5564.94/30</f>
        <v>185.49799999999999</v>
      </c>
      <c r="I11" s="41">
        <f>64.94/30</f>
        <v>2.1646666666666667</v>
      </c>
      <c r="J11" s="92">
        <f>SUM(H11-I11)</f>
        <v>183.33333333333331</v>
      </c>
      <c r="K11" s="87"/>
      <c r="L11" s="14"/>
      <c r="M11" s="4"/>
      <c r="N11" s="4"/>
      <c r="O11" s="4"/>
      <c r="Q11" s="2"/>
      <c r="R11" s="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0"/>
      <c r="AG11" s="6"/>
      <c r="AH11" s="6"/>
      <c r="AI11" s="20"/>
    </row>
    <row r="12" spans="1:35" s="3" customFormat="1" ht="27" customHeight="1">
      <c r="A12" s="31">
        <v>4</v>
      </c>
      <c r="B12" s="10" t="s">
        <v>31</v>
      </c>
      <c r="C12" s="103" t="s">
        <v>32</v>
      </c>
      <c r="D12" s="20">
        <f>H12*1</f>
        <v>470.77600000000001</v>
      </c>
      <c r="E12" s="20">
        <f>I12*1</f>
        <v>57.442666666666668</v>
      </c>
      <c r="F12" s="20">
        <f t="shared" si="2"/>
        <v>413.33333333333337</v>
      </c>
      <c r="G12" s="24"/>
      <c r="H12" s="84">
        <f>14123.28/30</f>
        <v>470.77600000000001</v>
      </c>
      <c r="I12" s="91">
        <f>1723.28/30</f>
        <v>57.442666666666668</v>
      </c>
      <c r="J12" s="92">
        <f>SUM(H12-I12)</f>
        <v>413.33333333333337</v>
      </c>
      <c r="K12" s="93"/>
      <c r="L12" s="6"/>
      <c r="M12" s="2"/>
      <c r="N12" s="1"/>
      <c r="Q12" s="2"/>
      <c r="R12" s="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0"/>
      <c r="AG12" s="6"/>
      <c r="AH12" s="6"/>
      <c r="AI12" s="20"/>
    </row>
    <row r="13" spans="1:35" s="3" customFormat="1" ht="27" customHeight="1">
      <c r="A13" s="31">
        <v>5</v>
      </c>
      <c r="B13" s="10" t="s">
        <v>14</v>
      </c>
      <c r="C13" s="104" t="s">
        <v>23</v>
      </c>
      <c r="D13" s="20">
        <f>H13*6</f>
        <v>2802.8999999999996</v>
      </c>
      <c r="E13" s="20">
        <f>I13*6</f>
        <v>343.58000000000004</v>
      </c>
      <c r="F13" s="20">
        <f t="shared" si="2"/>
        <v>2459.3199999999997</v>
      </c>
      <c r="G13" s="24" t="s">
        <v>18</v>
      </c>
      <c r="H13" s="84">
        <f>7007.25/15</f>
        <v>467.15</v>
      </c>
      <c r="I13" s="91">
        <f>858.95/15</f>
        <v>57.263333333333335</v>
      </c>
      <c r="J13" s="86">
        <f t="shared" ref="J13:J14" si="4">SUM(H13-I13)</f>
        <v>409.88666666666666</v>
      </c>
      <c r="K13" s="94"/>
      <c r="L13" s="6"/>
      <c r="M13" s="2"/>
      <c r="N13" s="1"/>
      <c r="Q13" s="2"/>
      <c r="R13" s="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0"/>
      <c r="AG13" s="6"/>
      <c r="AH13" s="6"/>
      <c r="AI13" s="20"/>
    </row>
    <row r="14" spans="1:35" s="3" customFormat="1" ht="27" customHeight="1">
      <c r="A14" s="31">
        <v>6</v>
      </c>
      <c r="B14" s="10" t="s">
        <v>7</v>
      </c>
      <c r="C14" s="104" t="s">
        <v>20</v>
      </c>
      <c r="D14" s="20">
        <f>H14*3</f>
        <v>1401.4499999999998</v>
      </c>
      <c r="E14" s="20">
        <f>I14*3</f>
        <v>171.79000000000002</v>
      </c>
      <c r="F14" s="20">
        <f t="shared" si="2"/>
        <v>1229.6599999999999</v>
      </c>
      <c r="G14" s="24" t="s">
        <v>18</v>
      </c>
      <c r="H14" s="84">
        <f>7007.25/15</f>
        <v>467.15</v>
      </c>
      <c r="I14" s="91">
        <f>858.95/15</f>
        <v>57.263333333333335</v>
      </c>
      <c r="J14" s="86">
        <f t="shared" si="4"/>
        <v>409.88666666666666</v>
      </c>
      <c r="K14" s="87"/>
      <c r="L14" s="6"/>
      <c r="M14" s="2"/>
      <c r="N14" s="1"/>
      <c r="Q14" s="2"/>
      <c r="R14" s="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0"/>
      <c r="AG14" s="6"/>
      <c r="AH14" s="6"/>
      <c r="AI14" s="20"/>
    </row>
    <row r="15" spans="1:35" s="3" customFormat="1" ht="27" customHeight="1">
      <c r="A15" s="31">
        <v>7</v>
      </c>
      <c r="B15" s="10" t="s">
        <v>4</v>
      </c>
      <c r="C15" s="104" t="s">
        <v>11</v>
      </c>
      <c r="D15" s="20">
        <f t="shared" ref="D15:E19" si="5">H15*1</f>
        <v>330.4</v>
      </c>
      <c r="E15" s="20">
        <f t="shared" si="5"/>
        <v>34.4</v>
      </c>
      <c r="F15" s="20">
        <f t="shared" si="0"/>
        <v>296</v>
      </c>
      <c r="G15" s="24" t="s">
        <v>18</v>
      </c>
      <c r="H15" s="84">
        <v>330.4</v>
      </c>
      <c r="I15" s="91">
        <v>34.4</v>
      </c>
      <c r="J15" s="86">
        <f t="shared" si="1"/>
        <v>296</v>
      </c>
      <c r="K15" s="94"/>
      <c r="L15" s="6"/>
      <c r="M15" s="2"/>
      <c r="N15" s="1"/>
      <c r="Q15" s="2"/>
      <c r="R15" s="2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20"/>
      <c r="AG15" s="6"/>
      <c r="AH15" s="6"/>
      <c r="AI15" s="20"/>
    </row>
    <row r="16" spans="1:35" s="3" customFormat="1" ht="27" customHeight="1">
      <c r="A16" s="31">
        <v>8</v>
      </c>
      <c r="B16" s="10" t="s">
        <v>8</v>
      </c>
      <c r="C16" s="104" t="s">
        <v>22</v>
      </c>
      <c r="D16" s="20">
        <f t="shared" si="5"/>
        <v>330.4</v>
      </c>
      <c r="E16" s="20">
        <f t="shared" si="5"/>
        <v>34.4</v>
      </c>
      <c r="F16" s="20">
        <f t="shared" si="0"/>
        <v>296</v>
      </c>
      <c r="G16" s="24" t="s">
        <v>18</v>
      </c>
      <c r="H16" s="84">
        <v>330.4</v>
      </c>
      <c r="I16" s="91">
        <v>34.4</v>
      </c>
      <c r="J16" s="86">
        <f t="shared" si="1"/>
        <v>296</v>
      </c>
      <c r="K16" s="94"/>
      <c r="L16" s="13"/>
      <c r="M16" s="2"/>
      <c r="N16" s="1"/>
      <c r="Q16" s="2"/>
      <c r="R16" s="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20"/>
      <c r="AG16" s="6"/>
      <c r="AH16" s="6"/>
      <c r="AI16" s="20"/>
    </row>
    <row r="17" spans="1:35" s="3" customFormat="1" ht="27" customHeight="1">
      <c r="A17" s="31">
        <v>9</v>
      </c>
      <c r="B17" s="10" t="s">
        <v>2</v>
      </c>
      <c r="C17" s="105" t="s">
        <v>13</v>
      </c>
      <c r="D17" s="4">
        <f t="shared" si="5"/>
        <v>401.26666666666665</v>
      </c>
      <c r="E17" s="4">
        <f t="shared" si="5"/>
        <v>49.266666666666666</v>
      </c>
      <c r="F17" s="2">
        <f t="shared" si="0"/>
        <v>352</v>
      </c>
      <c r="G17" s="24" t="s">
        <v>18</v>
      </c>
      <c r="H17" s="95">
        <f>6019/15</f>
        <v>401.26666666666665</v>
      </c>
      <c r="I17" s="95">
        <f>739/15</f>
        <v>49.266666666666666</v>
      </c>
      <c r="J17" s="86">
        <f t="shared" ref="J17:J20" si="6">SUM(H17-I17)</f>
        <v>352</v>
      </c>
      <c r="K17" s="87"/>
      <c r="L17" s="14"/>
      <c r="M17" s="4"/>
      <c r="N17" s="4"/>
      <c r="O17" s="4"/>
      <c r="Q17" s="2"/>
      <c r="R17" s="2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20"/>
      <c r="AG17" s="6"/>
      <c r="AH17" s="6"/>
      <c r="AI17" s="20"/>
    </row>
    <row r="18" spans="1:35" s="3" customFormat="1" ht="27" customHeight="1">
      <c r="A18" s="31">
        <v>10</v>
      </c>
      <c r="B18" s="10" t="s">
        <v>5</v>
      </c>
      <c r="C18" s="104" t="s">
        <v>21</v>
      </c>
      <c r="D18" s="20">
        <f t="shared" si="5"/>
        <v>330.4</v>
      </c>
      <c r="E18" s="20">
        <f t="shared" si="5"/>
        <v>34.4</v>
      </c>
      <c r="F18" s="20">
        <f t="shared" si="0"/>
        <v>296</v>
      </c>
      <c r="G18" s="24" t="s">
        <v>18</v>
      </c>
      <c r="H18" s="84">
        <v>330.4</v>
      </c>
      <c r="I18" s="91">
        <v>34.4</v>
      </c>
      <c r="J18" s="86">
        <f t="shared" ref="J18" si="7">SUM(H18-I18)</f>
        <v>296</v>
      </c>
      <c r="K18" s="96"/>
      <c r="L18" s="6"/>
      <c r="M18" s="2"/>
      <c r="N18" s="1"/>
      <c r="Q18" s="2"/>
      <c r="R18" s="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20"/>
      <c r="AG18" s="6"/>
      <c r="AH18" s="6"/>
      <c r="AI18" s="20"/>
    </row>
    <row r="19" spans="1:35" s="3" customFormat="1" ht="27" customHeight="1">
      <c r="A19" s="31">
        <v>11</v>
      </c>
      <c r="B19" s="10" t="s">
        <v>3</v>
      </c>
      <c r="C19" s="105" t="s">
        <v>12</v>
      </c>
      <c r="D19" s="4">
        <f t="shared" si="5"/>
        <v>330.4</v>
      </c>
      <c r="E19" s="4">
        <f t="shared" si="5"/>
        <v>34.4</v>
      </c>
      <c r="F19" s="2">
        <f t="shared" si="0"/>
        <v>296</v>
      </c>
      <c r="G19" s="24" t="s">
        <v>18</v>
      </c>
      <c r="H19" s="95">
        <f>4956/15</f>
        <v>330.4</v>
      </c>
      <c r="I19" s="95">
        <f>516/15</f>
        <v>34.4</v>
      </c>
      <c r="J19" s="86">
        <f t="shared" si="6"/>
        <v>296</v>
      </c>
      <c r="K19" s="87"/>
      <c r="L19" s="14"/>
      <c r="M19" s="4"/>
      <c r="N19" s="4"/>
      <c r="O19" s="4"/>
      <c r="Q19" s="2"/>
      <c r="R19" s="2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20"/>
      <c r="AG19" s="6"/>
      <c r="AH19" s="6"/>
      <c r="AI19" s="20"/>
    </row>
    <row r="20" spans="1:35" s="3" customFormat="1" ht="27" customHeight="1">
      <c r="A20" s="31">
        <v>12</v>
      </c>
      <c r="B20" s="10" t="s">
        <v>9</v>
      </c>
      <c r="C20" s="105" t="s">
        <v>12</v>
      </c>
      <c r="D20" s="4">
        <f>H20*2</f>
        <v>660.8</v>
      </c>
      <c r="E20" s="4">
        <f>I20*2</f>
        <v>68.8</v>
      </c>
      <c r="F20" s="2">
        <f t="shared" si="0"/>
        <v>592</v>
      </c>
      <c r="G20" s="24" t="s">
        <v>18</v>
      </c>
      <c r="H20" s="95">
        <f>4956/15</f>
        <v>330.4</v>
      </c>
      <c r="I20" s="95">
        <f>516/15</f>
        <v>34.4</v>
      </c>
      <c r="J20" s="86">
        <f t="shared" si="6"/>
        <v>296</v>
      </c>
      <c r="K20" s="94"/>
      <c r="L20" s="14"/>
      <c r="M20" s="4"/>
      <c r="N20" s="4"/>
      <c r="O20" s="4"/>
      <c r="Q20" s="2"/>
      <c r="R20" s="2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20"/>
      <c r="AG20" s="6"/>
      <c r="AH20" s="6"/>
      <c r="AI20" s="20"/>
    </row>
    <row r="21" spans="1:35" s="3" customFormat="1" ht="27" customHeight="1">
      <c r="A21" s="31"/>
      <c r="B21" s="10"/>
      <c r="C21" s="106"/>
      <c r="D21" s="20"/>
      <c r="E21" s="20"/>
      <c r="F21" s="20"/>
      <c r="G21" s="24"/>
      <c r="H21" s="84"/>
      <c r="I21" s="86"/>
      <c r="J21" s="86"/>
      <c r="K21" s="97"/>
      <c r="L21" s="34"/>
      <c r="M21" s="4"/>
      <c r="N21" s="4"/>
      <c r="O21" s="4"/>
      <c r="Q21" s="2"/>
      <c r="R21" s="2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20"/>
      <c r="AG21" s="6"/>
      <c r="AH21" s="6"/>
      <c r="AI21" s="20"/>
    </row>
    <row r="25" spans="1:35" s="3" customFormat="1" ht="27" customHeight="1">
      <c r="A25" s="9"/>
      <c r="B25" s="10"/>
      <c r="C25" s="107"/>
      <c r="D25" s="4"/>
      <c r="E25" s="4"/>
      <c r="F25" s="4"/>
      <c r="G25" s="24"/>
      <c r="H25" s="84"/>
      <c r="I25" s="91"/>
      <c r="J25" s="86"/>
      <c r="K25" s="87"/>
      <c r="L25" s="14"/>
      <c r="M25" s="4"/>
      <c r="N25" s="4"/>
      <c r="O25" s="4"/>
      <c r="Q25" s="2"/>
      <c r="R25" s="2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20"/>
      <c r="AG25" s="6"/>
      <c r="AH25" s="6"/>
      <c r="AI25" s="20"/>
    </row>
    <row r="26" spans="1:35" s="3" customFormat="1" ht="27" customHeight="1">
      <c r="A26" s="9"/>
      <c r="B26" s="10"/>
      <c r="C26" s="107"/>
      <c r="D26" s="32">
        <f>SUM(D8:D25)</f>
        <v>12245.362666666664</v>
      </c>
      <c r="E26" s="32">
        <f>SUM(E8:E25)</f>
        <v>1118.2493333333332</v>
      </c>
      <c r="F26" s="32">
        <f>SUM(F8:F25)</f>
        <v>11127.113333333333</v>
      </c>
      <c r="G26" s="24"/>
      <c r="H26" s="84"/>
      <c r="I26" s="91"/>
      <c r="J26" s="86"/>
      <c r="K26" s="87"/>
      <c r="L26" s="14"/>
      <c r="M26" s="4"/>
      <c r="N26" s="4"/>
      <c r="O26" s="4"/>
      <c r="Q26" s="2"/>
      <c r="R26" s="2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20"/>
      <c r="AG26" s="6"/>
      <c r="AH26" s="6"/>
      <c r="AI26" s="20"/>
    </row>
    <row r="27" spans="1:35" s="3" customFormat="1" ht="27" customHeight="1">
      <c r="A27" s="9"/>
      <c r="B27" s="10" t="s">
        <v>33</v>
      </c>
      <c r="C27" s="104"/>
      <c r="D27" s="4"/>
      <c r="E27" s="4"/>
      <c r="F27" s="4"/>
      <c r="G27" s="24" t="s">
        <v>18</v>
      </c>
      <c r="H27" s="84"/>
      <c r="I27" s="91"/>
      <c r="J27" s="86">
        <f>SUM(H27-I27)</f>
        <v>0</v>
      </c>
      <c r="K27" s="87"/>
      <c r="L27" s="14"/>
      <c r="M27" s="4"/>
      <c r="N27" s="5"/>
      <c r="Q27" s="2"/>
      <c r="R27" s="2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20"/>
      <c r="AG27" s="6"/>
      <c r="AH27" s="6"/>
      <c r="AI27" s="20"/>
    </row>
    <row r="28" spans="1:35" s="3" customFormat="1" ht="27" customHeight="1">
      <c r="A28" s="9"/>
      <c r="B28" s="10" t="s">
        <v>34</v>
      </c>
      <c r="C28" s="107"/>
      <c r="D28" s="4"/>
      <c r="E28" s="4"/>
      <c r="F28" s="4"/>
      <c r="G28" s="24" t="s">
        <v>18</v>
      </c>
      <c r="H28" s="84"/>
      <c r="I28" s="91"/>
      <c r="J28" s="86">
        <f>SUM(H28-I28)</f>
        <v>0</v>
      </c>
      <c r="K28" s="87"/>
      <c r="L28" s="13"/>
      <c r="M28" s="2"/>
      <c r="N28" s="1"/>
      <c r="Q28" s="2"/>
      <c r="R28" s="2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20"/>
      <c r="AG28" s="6"/>
      <c r="AH28" s="6"/>
      <c r="AI28" s="20"/>
    </row>
    <row r="29" spans="1:35" s="3" customFormat="1" ht="27" customHeight="1">
      <c r="A29" s="9"/>
      <c r="B29" s="10"/>
      <c r="C29" s="107"/>
      <c r="D29" s="28"/>
      <c r="E29" s="28"/>
      <c r="F29" s="21"/>
      <c r="G29" s="24" t="s">
        <v>18</v>
      </c>
      <c r="H29" s="91"/>
      <c r="I29" s="91"/>
      <c r="J29" s="86"/>
      <c r="K29" s="98"/>
      <c r="L29" s="6"/>
      <c r="M29" s="2"/>
      <c r="N29" s="1"/>
      <c r="Q29" s="2"/>
      <c r="R29" s="2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20"/>
      <c r="AG29" s="6"/>
      <c r="AH29" s="6"/>
      <c r="AI29" s="20"/>
    </row>
    <row r="30" spans="1:35" s="3" customFormat="1" ht="27" customHeight="1">
      <c r="A30" s="9"/>
      <c r="B30" s="10"/>
      <c r="C30" s="107"/>
      <c r="D30" s="4"/>
      <c r="E30" s="4"/>
      <c r="F30" s="4"/>
      <c r="G30" s="24" t="s">
        <v>18</v>
      </c>
      <c r="H30" s="91"/>
      <c r="I30" s="91"/>
      <c r="J30" s="86"/>
      <c r="K30" s="98"/>
      <c r="L30" s="20"/>
      <c r="M30" s="2"/>
      <c r="N30" s="1"/>
      <c r="Q30" s="2"/>
      <c r="R30" s="2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20"/>
      <c r="AG30" s="6"/>
      <c r="AH30" s="6"/>
      <c r="AI30" s="20"/>
    </row>
  </sheetData>
  <mergeCells count="4">
    <mergeCell ref="A1:G1"/>
    <mergeCell ref="A2:G2"/>
    <mergeCell ref="A3:G3"/>
    <mergeCell ref="A4:G4"/>
  </mergeCells>
  <pageMargins left="0.23622047244094491" right="0.23622047244094491" top="0.74803149606299213" bottom="0.74803149606299213" header="0.31496062992125984" footer="0.31496062992125984"/>
  <pageSetup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7"/>
  <sheetViews>
    <sheetView topLeftCell="A4" zoomScale="80" zoomScaleNormal="80" workbookViewId="0">
      <selection activeCell="B44" sqref="B44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40.7109375" style="30" bestFit="1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37" style="6" customWidth="1"/>
    <col min="8" max="8" width="11.5703125" style="84" bestFit="1" customWidth="1"/>
    <col min="9" max="9" width="9.5703125" style="91" customWidth="1"/>
    <col min="10" max="10" width="17.5703125" style="157" customWidth="1"/>
    <col min="11" max="11" width="16.7109375" style="87" customWidth="1"/>
    <col min="12" max="12" width="23.42578125" style="109" customWidth="1"/>
    <col min="13" max="13" width="9.7109375" style="95" customWidth="1"/>
    <col min="14" max="14" width="10.140625" style="117" bestFit="1" customWidth="1"/>
    <col min="15" max="15" width="8" style="131" bestFit="1" customWidth="1"/>
    <col min="16" max="16" width="9.140625" style="131" bestFit="1" customWidth="1"/>
    <col min="17" max="17" width="11.7109375" style="95" customWidth="1"/>
    <col min="18" max="18" width="6.85546875" style="6" customWidth="1"/>
    <col min="19" max="19" width="13.85546875" style="6" customWidth="1"/>
    <col min="20" max="20" width="11.7109375" style="6" customWidth="1"/>
    <col min="21" max="21" width="43.42578125" style="6" customWidth="1"/>
    <col min="22" max="30" width="11.7109375" style="6" customWidth="1"/>
    <col min="31" max="31" width="11.7109375" style="20" customWidth="1"/>
    <col min="32" max="33" width="11.7109375" style="6" customWidth="1"/>
    <col min="34" max="34" width="11.7109375" style="20" customWidth="1"/>
    <col min="35" max="35" width="11.7109375" style="6" customWidth="1"/>
    <col min="36" max="36" width="2.28515625" style="6" customWidth="1"/>
    <col min="37" max="37" width="15.5703125" style="6" customWidth="1"/>
    <col min="38" max="38" width="11.42578125" style="6" customWidth="1"/>
    <col min="39" max="39" width="11.42578125" style="6"/>
    <col min="40" max="40" width="11.42578125" style="6" customWidth="1"/>
    <col min="41" max="41" width="42.28515625" style="6" customWidth="1"/>
    <col min="42" max="16384" width="11.42578125" style="6"/>
  </cols>
  <sheetData>
    <row r="1" spans="1:35" s="175" customFormat="1" ht="27" customHeight="1">
      <c r="A1" s="229" t="s">
        <v>24</v>
      </c>
      <c r="B1" s="230"/>
      <c r="C1" s="230"/>
      <c r="D1" s="230"/>
      <c r="E1" s="230"/>
      <c r="F1" s="230"/>
      <c r="G1" s="231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32" t="s">
        <v>153</v>
      </c>
      <c r="B2" s="233"/>
      <c r="C2" s="233"/>
      <c r="D2" s="233"/>
      <c r="E2" s="233"/>
      <c r="F2" s="233"/>
      <c r="G2" s="234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309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s="3" customFormat="1" ht="27" customHeight="1">
      <c r="A7" s="31">
        <v>1</v>
      </c>
      <c r="B7" s="8" t="str">
        <f t="shared" ref="B7:C7" si="0">+L7</f>
        <v>MARTINEZ ESTEVEZ BRENDA</v>
      </c>
      <c r="C7" s="6" t="str">
        <f t="shared" si="0"/>
        <v>OFICIAL DE REGISTRO CIVIL SAN ANTONIO</v>
      </c>
      <c r="D7" s="20">
        <f>H7</f>
        <v>364</v>
      </c>
      <c r="E7" s="20">
        <f>I7</f>
        <v>34.64</v>
      </c>
      <c r="F7" s="20">
        <f t="shared" ref="F7" si="1">D7-E7</f>
        <v>329.36</v>
      </c>
      <c r="G7" s="24"/>
      <c r="H7" s="84">
        <v>364</v>
      </c>
      <c r="I7" s="84">
        <v>34.64</v>
      </c>
      <c r="J7" s="157">
        <f t="shared" ref="J7" si="2">+H7-I7</f>
        <v>329.36</v>
      </c>
      <c r="K7" s="142"/>
      <c r="L7" s="98" t="s">
        <v>304</v>
      </c>
      <c r="M7" s="143" t="s">
        <v>30</v>
      </c>
      <c r="N7" s="144">
        <v>2430.14</v>
      </c>
      <c r="O7" s="97">
        <v>19.86</v>
      </c>
      <c r="P7" s="97">
        <v>0</v>
      </c>
      <c r="Q7" s="95"/>
      <c r="R7" s="2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20"/>
      <c r="AG7" s="6"/>
      <c r="AH7" s="6"/>
      <c r="AI7" s="20"/>
    </row>
    <row r="8" spans="1:35" s="3" customFormat="1" ht="27" customHeight="1">
      <c r="A8" s="31">
        <v>2</v>
      </c>
      <c r="B8" s="8" t="str">
        <f t="shared" ref="B8:C25" si="3">+L8</f>
        <v xml:space="preserve">PINTO GONNZALEZ LN MARIA DE LA LUZ  </v>
      </c>
      <c r="C8" s="6" t="str">
        <f t="shared" ref="C8:C25" si="4">+M8</f>
        <v>JEFE DE DEPARTAMENTO DEL REGISTRO CIVIL</v>
      </c>
      <c r="D8" s="20">
        <f t="shared" ref="D8:D24" si="5">H8</f>
        <v>364</v>
      </c>
      <c r="E8" s="20">
        <f t="shared" ref="E8:E24" si="6">I8</f>
        <v>34.64</v>
      </c>
      <c r="F8" s="20">
        <f t="shared" ref="F8:F25" si="7">D8-E8</f>
        <v>329.36</v>
      </c>
      <c r="G8" s="24"/>
      <c r="H8" s="84">
        <v>364</v>
      </c>
      <c r="I8" s="84">
        <v>34.64</v>
      </c>
      <c r="J8" s="157">
        <f t="shared" ref="J8:J25" si="8">+H8-I8</f>
        <v>329.36</v>
      </c>
      <c r="K8" s="142"/>
      <c r="L8" s="98" t="s">
        <v>305</v>
      </c>
      <c r="M8" s="143" t="s">
        <v>26</v>
      </c>
      <c r="N8" s="144">
        <v>8714.74</v>
      </c>
      <c r="O8" s="97">
        <v>0</v>
      </c>
      <c r="P8" s="97">
        <v>1214.74</v>
      </c>
      <c r="Q8" s="95"/>
      <c r="R8" s="2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6"/>
      <c r="AH8" s="6"/>
      <c r="AI8" s="20"/>
    </row>
    <row r="9" spans="1:35" s="3" customFormat="1" ht="27" customHeight="1">
      <c r="A9" s="31">
        <v>3</v>
      </c>
      <c r="B9" s="8" t="str">
        <f t="shared" ref="B9:C9" si="9">+L9</f>
        <v xml:space="preserve">ALVAREZ DEL CASTILLO SANCHEZ JORGE ENRIQUE </v>
      </c>
      <c r="C9" s="6" t="str">
        <f t="shared" si="9"/>
        <v>CHOFER DE CAMION ESCOLAR</v>
      </c>
      <c r="D9" s="20">
        <f>H9*3.68</f>
        <v>1090.6784</v>
      </c>
      <c r="E9" s="20">
        <f>I9*3.68+0.53</f>
        <v>90.677733333333336</v>
      </c>
      <c r="F9" s="20">
        <f t="shared" si="7"/>
        <v>1000.0006666666667</v>
      </c>
      <c r="G9" s="24"/>
      <c r="H9" s="84">
        <f t="shared" ref="H9:H25" si="10">+N9/15</f>
        <v>296.38</v>
      </c>
      <c r="I9" s="84">
        <f t="shared" ref="I9:I25" si="11">+P9/15</f>
        <v>24.496666666666666</v>
      </c>
      <c r="J9" s="157">
        <f t="shared" si="8"/>
        <v>271.88333333333333</v>
      </c>
      <c r="K9" s="142"/>
      <c r="L9" s="98" t="s">
        <v>127</v>
      </c>
      <c r="M9" s="143" t="s">
        <v>128</v>
      </c>
      <c r="N9" s="144">
        <v>4445.7</v>
      </c>
      <c r="O9" s="97">
        <v>0</v>
      </c>
      <c r="P9" s="97">
        <v>367.45</v>
      </c>
      <c r="Q9" s="95"/>
      <c r="R9" s="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0"/>
      <c r="AG9" s="6"/>
      <c r="AH9" s="6"/>
      <c r="AI9" s="20"/>
    </row>
    <row r="10" spans="1:35" s="3" customFormat="1" ht="27" customHeight="1">
      <c r="A10" s="31">
        <v>4</v>
      </c>
      <c r="B10" s="8" t="str">
        <f t="shared" si="3"/>
        <v xml:space="preserve">BARCENAS AVILA ENRIQUE </v>
      </c>
      <c r="C10" s="6" t="str">
        <f t="shared" si="4"/>
        <v xml:space="preserve">CHOFER  DE CAMION DE BASURA </v>
      </c>
      <c r="D10" s="20">
        <f t="shared" si="5"/>
        <v>244.48266666666666</v>
      </c>
      <c r="E10" s="20">
        <f t="shared" si="6"/>
        <v>11.149333333333335</v>
      </c>
      <c r="F10" s="20">
        <f t="shared" si="7"/>
        <v>233.33333333333331</v>
      </c>
      <c r="G10" s="24"/>
      <c r="H10" s="84">
        <f t="shared" si="10"/>
        <v>244.48266666666666</v>
      </c>
      <c r="I10" s="84">
        <f t="shared" si="11"/>
        <v>11.149333333333335</v>
      </c>
      <c r="J10" s="157">
        <f t="shared" si="8"/>
        <v>233.33333333333331</v>
      </c>
      <c r="K10" s="142"/>
      <c r="L10" s="98" t="s">
        <v>129</v>
      </c>
      <c r="M10" s="143" t="s">
        <v>130</v>
      </c>
      <c r="N10" s="144">
        <v>3667.24</v>
      </c>
      <c r="O10" s="97">
        <v>0</v>
      </c>
      <c r="P10" s="97">
        <v>167.24</v>
      </c>
      <c r="Q10" s="95"/>
      <c r="R10" s="2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0"/>
      <c r="AG10" s="6"/>
      <c r="AH10" s="6"/>
      <c r="AI10" s="20"/>
    </row>
    <row r="11" spans="1:35" s="3" customFormat="1" ht="27" customHeight="1">
      <c r="A11" s="31">
        <v>5</v>
      </c>
      <c r="B11" s="8" t="str">
        <f t="shared" si="3"/>
        <v xml:space="preserve">CARRILLO VILLALOBOS ISA </v>
      </c>
      <c r="C11" s="6" t="str">
        <f t="shared" si="4"/>
        <v>BASURA</v>
      </c>
      <c r="D11" s="20">
        <f t="shared" si="5"/>
        <v>184.87</v>
      </c>
      <c r="E11" s="20">
        <f t="shared" si="6"/>
        <v>2.0960000000000001</v>
      </c>
      <c r="F11" s="20">
        <f t="shared" si="7"/>
        <v>182.774</v>
      </c>
      <c r="G11" s="24"/>
      <c r="H11" s="84">
        <f t="shared" si="10"/>
        <v>184.87</v>
      </c>
      <c r="I11" s="84">
        <f t="shared" si="11"/>
        <v>2.0960000000000001</v>
      </c>
      <c r="J11" s="157">
        <f t="shared" si="8"/>
        <v>182.774</v>
      </c>
      <c r="K11" s="142"/>
      <c r="L11" s="98" t="s">
        <v>132</v>
      </c>
      <c r="M11" s="143" t="s">
        <v>133</v>
      </c>
      <c r="N11" s="144">
        <v>2773.05</v>
      </c>
      <c r="O11" s="97">
        <v>0</v>
      </c>
      <c r="P11" s="97">
        <v>31.44</v>
      </c>
      <c r="Q11" s="95"/>
      <c r="R11" s="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0"/>
      <c r="AG11" s="6"/>
      <c r="AH11" s="6"/>
      <c r="AI11" s="20"/>
    </row>
    <row r="12" spans="1:35" s="3" customFormat="1" ht="27" customHeight="1">
      <c r="A12" s="31">
        <v>6</v>
      </c>
      <c r="B12" s="8" t="str">
        <f t="shared" si="3"/>
        <v xml:space="preserve">CORONA OLVERA SALVADOR </v>
      </c>
      <c r="C12" s="6" t="str">
        <f t="shared" si="3"/>
        <v>CHOFER DE CAMION ESCOLAR</v>
      </c>
      <c r="D12" s="20">
        <f>H12*6.201</f>
        <v>2214.9971999999998</v>
      </c>
      <c r="E12" s="20">
        <f>I12*6.201+0.03</f>
        <v>214.99386600000003</v>
      </c>
      <c r="F12" s="20">
        <f t="shared" si="7"/>
        <v>2000.0033339999998</v>
      </c>
      <c r="G12" s="24"/>
      <c r="H12" s="84">
        <f t="shared" si="10"/>
        <v>357.2</v>
      </c>
      <c r="I12" s="84">
        <f t="shared" si="11"/>
        <v>34.666000000000004</v>
      </c>
      <c r="J12" s="157">
        <f t="shared" si="8"/>
        <v>322.53399999999999</v>
      </c>
      <c r="K12" s="142"/>
      <c r="L12" s="98" t="s">
        <v>134</v>
      </c>
      <c r="M12" s="143" t="s">
        <v>128</v>
      </c>
      <c r="N12" s="144">
        <v>5358</v>
      </c>
      <c r="O12" s="97">
        <v>0</v>
      </c>
      <c r="P12" s="97">
        <v>519.99</v>
      </c>
      <c r="Q12" s="95"/>
      <c r="R12" s="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0"/>
      <c r="AG12" s="6"/>
      <c r="AH12" s="6"/>
      <c r="AI12" s="20"/>
    </row>
    <row r="13" spans="1:35" s="3" customFormat="1" ht="27" customHeight="1">
      <c r="A13" s="31">
        <v>7</v>
      </c>
      <c r="B13" s="8" t="str">
        <f t="shared" si="3"/>
        <v xml:space="preserve">DELGADILLO SANCHEZ ROBERTO CARLOS </v>
      </c>
      <c r="C13" s="6" t="str">
        <f t="shared" si="4"/>
        <v>BASURA</v>
      </c>
      <c r="D13" s="20">
        <f t="shared" si="5"/>
        <v>224.43733333333333</v>
      </c>
      <c r="E13" s="20">
        <f t="shared" si="6"/>
        <v>7.7706666666666671</v>
      </c>
      <c r="F13" s="20">
        <f t="shared" si="7"/>
        <v>216.66666666666666</v>
      </c>
      <c r="G13" s="24"/>
      <c r="H13" s="84">
        <f t="shared" si="10"/>
        <v>224.43733333333333</v>
      </c>
      <c r="I13" s="84">
        <f t="shared" si="11"/>
        <v>7.7706666666666671</v>
      </c>
      <c r="J13" s="157">
        <f t="shared" si="8"/>
        <v>216.66666666666666</v>
      </c>
      <c r="K13" s="142"/>
      <c r="L13" s="98" t="s">
        <v>135</v>
      </c>
      <c r="M13" s="143" t="s">
        <v>133</v>
      </c>
      <c r="N13" s="144">
        <v>3366.56</v>
      </c>
      <c r="O13" s="97">
        <v>0</v>
      </c>
      <c r="P13" s="97">
        <v>116.56</v>
      </c>
      <c r="Q13" s="95"/>
      <c r="R13" s="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0"/>
      <c r="AG13" s="6"/>
      <c r="AH13" s="6"/>
      <c r="AI13" s="20"/>
    </row>
    <row r="14" spans="1:35" s="3" customFormat="1" ht="27" customHeight="1">
      <c r="A14" s="31">
        <v>8</v>
      </c>
      <c r="B14" s="8" t="str">
        <f t="shared" si="3"/>
        <v xml:space="preserve">DIAZ SALDANA TOBIAS </v>
      </c>
      <c r="C14" s="6" t="str">
        <f t="shared" si="4"/>
        <v>BASURA</v>
      </c>
      <c r="D14" s="20">
        <f t="shared" si="5"/>
        <v>184.87</v>
      </c>
      <c r="E14" s="20">
        <f t="shared" si="6"/>
        <v>2.0960000000000001</v>
      </c>
      <c r="F14" s="20">
        <f t="shared" si="7"/>
        <v>182.774</v>
      </c>
      <c r="G14" s="24"/>
      <c r="H14" s="84">
        <f t="shared" si="10"/>
        <v>184.87</v>
      </c>
      <c r="I14" s="84">
        <f t="shared" si="11"/>
        <v>2.0960000000000001</v>
      </c>
      <c r="J14" s="157">
        <f t="shared" si="8"/>
        <v>182.774</v>
      </c>
      <c r="K14" s="142"/>
      <c r="L14" s="98" t="s">
        <v>306</v>
      </c>
      <c r="M14" s="143" t="s">
        <v>133</v>
      </c>
      <c r="N14" s="144">
        <v>2773.05</v>
      </c>
      <c r="O14" s="97">
        <v>0</v>
      </c>
      <c r="P14" s="97">
        <v>31.44</v>
      </c>
      <c r="Q14" s="95"/>
      <c r="R14" s="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0"/>
      <c r="AG14" s="6"/>
      <c r="AH14" s="6"/>
      <c r="AI14" s="20"/>
    </row>
    <row r="15" spans="1:35" s="3" customFormat="1" ht="27" customHeight="1">
      <c r="A15" s="31">
        <v>9</v>
      </c>
      <c r="B15" s="8" t="str">
        <f t="shared" si="3"/>
        <v xml:space="preserve">ESPINOZA SANCHEZ ALBERTO </v>
      </c>
      <c r="C15" s="6" t="str">
        <f t="shared" si="4"/>
        <v>AUX. AGUA POTABLE</v>
      </c>
      <c r="D15" s="20">
        <f>H15*10</f>
        <v>1854.98</v>
      </c>
      <c r="E15" s="20">
        <f>I15*10</f>
        <v>21.646666666666668</v>
      </c>
      <c r="F15" s="20">
        <f t="shared" si="7"/>
        <v>1833.3333333333333</v>
      </c>
      <c r="G15" s="24"/>
      <c r="H15" s="84">
        <f t="shared" si="10"/>
        <v>185.49799999999999</v>
      </c>
      <c r="I15" s="84">
        <f t="shared" si="11"/>
        <v>2.1646666666666667</v>
      </c>
      <c r="J15" s="157">
        <f t="shared" si="8"/>
        <v>183.33333333333331</v>
      </c>
      <c r="K15" s="142"/>
      <c r="L15" s="98" t="s">
        <v>231</v>
      </c>
      <c r="M15" s="143" t="s">
        <v>233</v>
      </c>
      <c r="N15" s="144">
        <v>2782.47</v>
      </c>
      <c r="O15" s="97">
        <v>0</v>
      </c>
      <c r="P15" s="97">
        <v>32.47</v>
      </c>
      <c r="Q15" s="95"/>
      <c r="R15" s="2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20"/>
      <c r="AG15" s="6"/>
      <c r="AH15" s="6"/>
      <c r="AI15" s="20"/>
    </row>
    <row r="16" spans="1:35" s="3" customFormat="1" ht="27" customHeight="1">
      <c r="A16" s="31">
        <v>10</v>
      </c>
      <c r="B16" s="8" t="str">
        <f t="shared" ref="B16:B17" si="12">+L16</f>
        <v xml:space="preserve">GONZALEZ LIMON JOSE CARLOS </v>
      </c>
      <c r="C16" s="6" t="str">
        <f t="shared" ref="C16:C17" si="13">+M16</f>
        <v>UNIDAD DE REHABILITACION DE ESCUELAS</v>
      </c>
      <c r="D16" s="20">
        <f t="shared" ref="D16:D17" si="14">H16</f>
        <v>244.48266666666666</v>
      </c>
      <c r="E16" s="20">
        <f t="shared" ref="E16:E17" si="15">I16</f>
        <v>11.149333333333335</v>
      </c>
      <c r="F16" s="20">
        <f t="shared" ref="F16:F17" si="16">D16-E16</f>
        <v>233.33333333333331</v>
      </c>
      <c r="G16" s="24"/>
      <c r="H16" s="84">
        <f t="shared" ref="H16:H17" si="17">+N16/15</f>
        <v>244.48266666666666</v>
      </c>
      <c r="I16" s="84">
        <f t="shared" ref="I16:I17" si="18">+P16/15</f>
        <v>11.149333333333335</v>
      </c>
      <c r="J16" s="157">
        <f t="shared" ref="J16:J17" si="19">+H16-I16</f>
        <v>233.33333333333331</v>
      </c>
      <c r="K16" s="142"/>
      <c r="L16" s="98" t="s">
        <v>68</v>
      </c>
      <c r="M16" s="143" t="s">
        <v>69</v>
      </c>
      <c r="N16" s="144">
        <v>3667.24</v>
      </c>
      <c r="O16" s="97">
        <v>0</v>
      </c>
      <c r="P16" s="97">
        <v>167.24</v>
      </c>
      <c r="Q16" s="95"/>
      <c r="R16" s="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20"/>
      <c r="AG16" s="6"/>
      <c r="AH16" s="6"/>
      <c r="AI16" s="20"/>
    </row>
    <row r="17" spans="1:35" s="3" customFormat="1" ht="27" customHeight="1">
      <c r="A17" s="31">
        <v>11</v>
      </c>
      <c r="B17" s="8" t="str">
        <f t="shared" si="12"/>
        <v xml:space="preserve">GONZALEZ VAZQUEZ JORGE ARMANDO </v>
      </c>
      <c r="C17" s="6" t="str">
        <f t="shared" si="13"/>
        <v>BASURA</v>
      </c>
      <c r="D17" s="20">
        <f t="shared" si="14"/>
        <v>168</v>
      </c>
      <c r="E17" s="20">
        <f t="shared" si="15"/>
        <v>0</v>
      </c>
      <c r="F17" s="20">
        <f t="shared" si="16"/>
        <v>168</v>
      </c>
      <c r="G17" s="24"/>
      <c r="H17" s="84">
        <f t="shared" si="17"/>
        <v>168</v>
      </c>
      <c r="I17" s="84">
        <f t="shared" si="18"/>
        <v>0</v>
      </c>
      <c r="J17" s="157">
        <f t="shared" si="19"/>
        <v>168</v>
      </c>
      <c r="K17" s="142"/>
      <c r="L17" s="98" t="s">
        <v>156</v>
      </c>
      <c r="M17" s="143" t="s">
        <v>133</v>
      </c>
      <c r="N17" s="144">
        <v>2520</v>
      </c>
      <c r="O17" s="97">
        <v>11.21</v>
      </c>
      <c r="P17" s="97">
        <v>0</v>
      </c>
      <c r="Q17" s="95"/>
      <c r="R17" s="2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20"/>
      <c r="AG17" s="6"/>
      <c r="AH17" s="6"/>
      <c r="AI17" s="20"/>
    </row>
    <row r="18" spans="1:35" s="3" customFormat="1" ht="27" customHeight="1">
      <c r="A18" s="31">
        <v>12</v>
      </c>
      <c r="B18" s="8" t="str">
        <f t="shared" si="3"/>
        <v xml:space="preserve">GUZMAN DELGADO MAYQUENA </v>
      </c>
      <c r="C18" s="6" t="str">
        <f t="shared" si="4"/>
        <v>AUX ADMINISTRATIVO A</v>
      </c>
      <c r="D18" s="20">
        <f t="shared" si="5"/>
        <v>244.48266666666666</v>
      </c>
      <c r="E18" s="20">
        <f t="shared" si="6"/>
        <v>11.149333333333335</v>
      </c>
      <c r="F18" s="20">
        <f t="shared" si="7"/>
        <v>233.33333333333331</v>
      </c>
      <c r="G18" s="24"/>
      <c r="H18" s="84">
        <f t="shared" si="10"/>
        <v>244.48266666666666</v>
      </c>
      <c r="I18" s="84">
        <f t="shared" si="11"/>
        <v>11.149333333333335</v>
      </c>
      <c r="J18" s="157">
        <f t="shared" si="8"/>
        <v>233.33333333333331</v>
      </c>
      <c r="K18" s="142"/>
      <c r="L18" s="98" t="s">
        <v>138</v>
      </c>
      <c r="M18" s="143" t="s">
        <v>139</v>
      </c>
      <c r="N18" s="144">
        <v>3667.24</v>
      </c>
      <c r="O18" s="97">
        <v>0</v>
      </c>
      <c r="P18" s="97">
        <v>167.24</v>
      </c>
      <c r="Q18" s="95"/>
      <c r="R18" s="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20"/>
      <c r="AG18" s="6"/>
      <c r="AH18" s="6"/>
      <c r="AI18" s="20"/>
    </row>
    <row r="19" spans="1:35" s="3" customFormat="1" ht="27" customHeight="1">
      <c r="A19" s="31">
        <v>13</v>
      </c>
      <c r="B19" s="8" t="str">
        <f t="shared" si="3"/>
        <v xml:space="preserve">MARQUEZ ROMERO GABRIEL </v>
      </c>
      <c r="C19" s="6" t="str">
        <f t="shared" si="4"/>
        <v>CHOFER ACARREADOR RASTRO</v>
      </c>
      <c r="D19" s="20">
        <f t="shared" si="5"/>
        <v>282.54399999999998</v>
      </c>
      <c r="E19" s="20">
        <f t="shared" si="6"/>
        <v>22.544</v>
      </c>
      <c r="F19" s="20">
        <f t="shared" si="7"/>
        <v>260</v>
      </c>
      <c r="G19" s="24"/>
      <c r="H19" s="84">
        <f t="shared" si="10"/>
        <v>282.54399999999998</v>
      </c>
      <c r="I19" s="84">
        <f t="shared" si="11"/>
        <v>22.544</v>
      </c>
      <c r="J19" s="157">
        <f t="shared" si="8"/>
        <v>260</v>
      </c>
      <c r="K19" s="142"/>
      <c r="L19" s="98" t="s">
        <v>72</v>
      </c>
      <c r="M19" s="143" t="s">
        <v>73</v>
      </c>
      <c r="N19" s="144">
        <v>4238.16</v>
      </c>
      <c r="O19" s="97">
        <v>0</v>
      </c>
      <c r="P19" s="97">
        <v>338.16</v>
      </c>
      <c r="Q19" s="95"/>
      <c r="R19" s="2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20"/>
      <c r="AG19" s="6"/>
      <c r="AH19" s="6"/>
      <c r="AI19" s="20"/>
    </row>
    <row r="20" spans="1:35" s="3" customFormat="1" ht="27" customHeight="1">
      <c r="A20" s="31">
        <v>14</v>
      </c>
      <c r="B20" s="8" t="str">
        <f t="shared" si="3"/>
        <v xml:space="preserve">MARTINEZ GONZALEZ HECTOR MIGUEL </v>
      </c>
      <c r="C20" s="6" t="str">
        <f t="shared" si="3"/>
        <v>CHOFER DE CAMION ESCOLAR</v>
      </c>
      <c r="D20" s="20">
        <f>H20*3.024</f>
        <v>1110.2051520000002</v>
      </c>
      <c r="E20" s="20">
        <f>I20*3.024-0.01</f>
        <v>110.20270400000001</v>
      </c>
      <c r="F20" s="20">
        <f t="shared" si="7"/>
        <v>1000.0024480000002</v>
      </c>
      <c r="G20" s="24"/>
      <c r="H20" s="84">
        <f t="shared" si="10"/>
        <v>367.13133333333337</v>
      </c>
      <c r="I20" s="84">
        <f t="shared" si="11"/>
        <v>36.446000000000005</v>
      </c>
      <c r="J20" s="157">
        <f t="shared" si="8"/>
        <v>330.68533333333335</v>
      </c>
      <c r="K20" s="142"/>
      <c r="L20" s="98" t="s">
        <v>141</v>
      </c>
      <c r="M20" s="143" t="s">
        <v>128</v>
      </c>
      <c r="N20" s="144">
        <v>5506.97</v>
      </c>
      <c r="O20" s="97">
        <v>0</v>
      </c>
      <c r="P20" s="97">
        <v>546.69000000000005</v>
      </c>
      <c r="Q20" s="95"/>
      <c r="R20" s="2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20"/>
      <c r="AG20" s="6"/>
      <c r="AH20" s="6"/>
      <c r="AI20" s="20"/>
    </row>
    <row r="21" spans="1:35" s="3" customFormat="1" ht="27" customHeight="1">
      <c r="A21" s="31">
        <v>15</v>
      </c>
      <c r="B21" s="8" t="str">
        <f t="shared" si="3"/>
        <v xml:space="preserve">RUVALCABA RUVALCABA LORENA </v>
      </c>
      <c r="C21" s="6" t="str">
        <f t="shared" si="4"/>
        <v>INTENDENTE B EN LA PLAZA</v>
      </c>
      <c r="D21" s="20">
        <f t="shared" si="5"/>
        <v>185.49799999999999</v>
      </c>
      <c r="E21" s="20">
        <f t="shared" si="6"/>
        <v>2.1646666666666667</v>
      </c>
      <c r="F21" s="20">
        <f t="shared" si="7"/>
        <v>183.33333333333331</v>
      </c>
      <c r="G21" s="24"/>
      <c r="H21" s="84">
        <f t="shared" si="10"/>
        <v>185.49799999999999</v>
      </c>
      <c r="I21" s="84">
        <f t="shared" si="11"/>
        <v>2.1646666666666667</v>
      </c>
      <c r="J21" s="157">
        <f t="shared" si="8"/>
        <v>183.33333333333331</v>
      </c>
      <c r="K21" s="142"/>
      <c r="L21" s="98" t="s">
        <v>111</v>
      </c>
      <c r="M21" s="143" t="s">
        <v>112</v>
      </c>
      <c r="N21" s="144">
        <v>2782.47</v>
      </c>
      <c r="O21" s="97">
        <v>0</v>
      </c>
      <c r="P21" s="97">
        <v>32.47</v>
      </c>
      <c r="Q21" s="95"/>
      <c r="R21" s="2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20"/>
      <c r="AG21" s="6"/>
      <c r="AH21" s="6"/>
      <c r="AI21" s="20"/>
    </row>
    <row r="22" spans="1:35" s="3" customFormat="1" ht="27" customHeight="1">
      <c r="A22" s="31">
        <v>16</v>
      </c>
      <c r="B22" s="8" t="str">
        <f t="shared" si="3"/>
        <v xml:space="preserve">SANDOVAL OLIVA JOSE FAVIAN </v>
      </c>
      <c r="C22" s="6" t="str">
        <f t="shared" si="4"/>
        <v>AUX DE RASTRO</v>
      </c>
      <c r="D22" s="20">
        <f t="shared" si="5"/>
        <v>224.43733333333333</v>
      </c>
      <c r="E22" s="20">
        <f t="shared" si="6"/>
        <v>7.7706666666666671</v>
      </c>
      <c r="F22" s="20">
        <f t="shared" si="7"/>
        <v>216.66666666666666</v>
      </c>
      <c r="G22" s="24"/>
      <c r="H22" s="84">
        <f t="shared" si="10"/>
        <v>224.43733333333333</v>
      </c>
      <c r="I22" s="84">
        <f t="shared" si="11"/>
        <v>7.7706666666666671</v>
      </c>
      <c r="J22" s="157">
        <f t="shared" si="8"/>
        <v>216.66666666666666</v>
      </c>
      <c r="K22" s="142"/>
      <c r="L22" s="98" t="s">
        <v>80</v>
      </c>
      <c r="M22" s="143" t="s">
        <v>81</v>
      </c>
      <c r="N22" s="144">
        <v>3366.56</v>
      </c>
      <c r="O22" s="97">
        <v>0</v>
      </c>
      <c r="P22" s="97">
        <v>116.56</v>
      </c>
      <c r="Q22" s="95"/>
      <c r="R22" s="2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20"/>
      <c r="AG22" s="6"/>
      <c r="AH22" s="6"/>
      <c r="AI22" s="20"/>
    </row>
    <row r="23" spans="1:35" s="3" customFormat="1" ht="27" customHeight="1">
      <c r="A23" s="31">
        <v>17</v>
      </c>
      <c r="B23" s="8" t="str">
        <f t="shared" si="3"/>
        <v xml:space="preserve">VAZQUEZ FLORES FERNANDO </v>
      </c>
      <c r="C23" s="6" t="str">
        <f t="shared" si="4"/>
        <v>BASURA</v>
      </c>
      <c r="D23" s="20">
        <f t="shared" si="5"/>
        <v>183.19</v>
      </c>
      <c r="E23" s="20">
        <f t="shared" si="6"/>
        <v>1.9133333333333333</v>
      </c>
      <c r="F23" s="20">
        <f t="shared" si="7"/>
        <v>181.27666666666667</v>
      </c>
      <c r="G23" s="24"/>
      <c r="H23" s="84">
        <f t="shared" si="10"/>
        <v>183.19</v>
      </c>
      <c r="I23" s="84">
        <f t="shared" si="11"/>
        <v>1.9133333333333333</v>
      </c>
      <c r="J23" s="157">
        <f t="shared" si="8"/>
        <v>181.27666666666667</v>
      </c>
      <c r="K23" s="142"/>
      <c r="L23" s="98" t="s">
        <v>157</v>
      </c>
      <c r="M23" s="143" t="s">
        <v>133</v>
      </c>
      <c r="N23" s="144">
        <v>2747.85</v>
      </c>
      <c r="O23" s="97">
        <v>0</v>
      </c>
      <c r="P23" s="97">
        <v>28.7</v>
      </c>
      <c r="Q23" s="95"/>
      <c r="R23" s="2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20"/>
      <c r="AG23" s="6"/>
      <c r="AH23" s="6"/>
      <c r="AI23" s="20"/>
    </row>
    <row r="24" spans="1:35" s="3" customFormat="1" ht="27" customHeight="1">
      <c r="A24" s="31">
        <v>18</v>
      </c>
      <c r="B24" s="8" t="str">
        <f t="shared" si="3"/>
        <v>YANEZ JIMENEZ JORGE</v>
      </c>
      <c r="C24" s="6" t="str">
        <f t="shared" si="4"/>
        <v>BASURA</v>
      </c>
      <c r="D24" s="20">
        <f t="shared" si="5"/>
        <v>224.43800000000002</v>
      </c>
      <c r="E24" s="20">
        <f t="shared" si="6"/>
        <v>7.7713333333333328</v>
      </c>
      <c r="F24" s="20">
        <f t="shared" si="7"/>
        <v>216.66666666666669</v>
      </c>
      <c r="G24" s="24"/>
      <c r="H24" s="84">
        <f t="shared" si="10"/>
        <v>224.43800000000002</v>
      </c>
      <c r="I24" s="84">
        <f t="shared" si="11"/>
        <v>7.7713333333333328</v>
      </c>
      <c r="J24" s="157">
        <f t="shared" si="8"/>
        <v>216.66666666666669</v>
      </c>
      <c r="K24" s="142"/>
      <c r="L24" s="98" t="s">
        <v>307</v>
      </c>
      <c r="M24" s="143" t="s">
        <v>133</v>
      </c>
      <c r="N24" s="144">
        <v>3366.57</v>
      </c>
      <c r="O24" s="97">
        <v>0</v>
      </c>
      <c r="P24" s="97">
        <v>116.57</v>
      </c>
      <c r="Q24" s="95"/>
      <c r="R24" s="2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20"/>
      <c r="AG24" s="6"/>
      <c r="AH24" s="6"/>
      <c r="AI24" s="20"/>
    </row>
    <row r="25" spans="1:35" s="3" customFormat="1" ht="27" customHeight="1">
      <c r="A25" s="31">
        <v>19</v>
      </c>
      <c r="B25" s="8" t="str">
        <f t="shared" si="3"/>
        <v xml:space="preserve">YANEZ JIMENEZ JOSE MANUEL </v>
      </c>
      <c r="C25" s="6" t="str">
        <f t="shared" si="4"/>
        <v>CUADRILLA AGUA POTABLE Y ALCAN</v>
      </c>
      <c r="D25" s="20">
        <f>H25*10.944</f>
        <v>3272.6937600000006</v>
      </c>
      <c r="E25" s="20">
        <f>I25*10.9416</f>
        <v>272.69384959999996</v>
      </c>
      <c r="F25" s="20">
        <f t="shared" si="7"/>
        <v>2999.9999104000008</v>
      </c>
      <c r="G25" s="24"/>
      <c r="H25" s="84">
        <f t="shared" si="10"/>
        <v>299.04000000000002</v>
      </c>
      <c r="I25" s="84">
        <f t="shared" si="11"/>
        <v>24.922666666666665</v>
      </c>
      <c r="J25" s="157">
        <f t="shared" si="8"/>
        <v>274.11733333333336</v>
      </c>
      <c r="K25" s="142"/>
      <c r="L25" s="98" t="s">
        <v>308</v>
      </c>
      <c r="M25" s="143" t="s">
        <v>57</v>
      </c>
      <c r="N25" s="144">
        <v>4485.6000000000004</v>
      </c>
      <c r="O25" s="97">
        <v>0</v>
      </c>
      <c r="P25" s="97">
        <v>373.84</v>
      </c>
      <c r="Q25" s="95"/>
      <c r="R25" s="2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20"/>
      <c r="AG25" s="6"/>
      <c r="AH25" s="6"/>
      <c r="AI25" s="20"/>
    </row>
    <row r="26" spans="1:35" s="3" customFormat="1" ht="27" customHeight="1">
      <c r="A26" s="31"/>
      <c r="B26" s="10"/>
      <c r="C26" s="67" t="s">
        <v>165</v>
      </c>
      <c r="D26" s="63">
        <f>SUM(D7:D25)</f>
        <v>12867.287178666667</v>
      </c>
      <c r="E26" s="63">
        <f t="shared" ref="E26:F26" si="20">SUM(E7:E25)</f>
        <v>867.06948626666667</v>
      </c>
      <c r="F26" s="63">
        <f t="shared" si="20"/>
        <v>12000.217692400001</v>
      </c>
      <c r="G26" s="7"/>
      <c r="H26" s="84"/>
      <c r="I26" s="84"/>
      <c r="J26" s="157"/>
      <c r="K26" s="134"/>
      <c r="L26" s="134"/>
      <c r="M26" s="134"/>
      <c r="N26" s="97"/>
      <c r="O26" s="95"/>
      <c r="P26" s="95"/>
      <c r="Q26" s="98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20"/>
      <c r="AD26" s="6"/>
      <c r="AE26" s="6"/>
      <c r="AF26" s="20"/>
    </row>
    <row r="27" spans="1:35" s="3" customFormat="1" ht="27" customHeight="1">
      <c r="A27" s="31"/>
      <c r="B27" s="10" t="s">
        <v>311</v>
      </c>
      <c r="C27" s="6"/>
      <c r="D27" s="20"/>
      <c r="E27" s="20"/>
      <c r="F27" s="20"/>
      <c r="G27" s="7"/>
      <c r="H27" s="84"/>
      <c r="I27" s="84"/>
      <c r="J27" s="157"/>
      <c r="K27" s="134"/>
      <c r="L27" s="134"/>
      <c r="M27" s="134"/>
      <c r="N27" s="134"/>
      <c r="O27" s="95"/>
      <c r="P27" s="95"/>
      <c r="Q27" s="98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20"/>
      <c r="AD27" s="6"/>
      <c r="AE27" s="6"/>
      <c r="AF27" s="20"/>
    </row>
    <row r="28" spans="1:35" s="3" customFormat="1" ht="27" customHeight="1">
      <c r="A28" s="31"/>
      <c r="B28" s="10" t="s">
        <v>310</v>
      </c>
      <c r="C28" s="6"/>
      <c r="D28" s="20"/>
      <c r="E28" s="20"/>
      <c r="F28" s="20"/>
      <c r="G28" s="7"/>
      <c r="H28" s="84"/>
      <c r="I28" s="84"/>
      <c r="J28" s="157"/>
      <c r="K28" s="134"/>
      <c r="L28" s="134"/>
      <c r="M28" s="134"/>
      <c r="N28" s="134"/>
      <c r="O28" s="95"/>
      <c r="P28" s="95"/>
      <c r="Q28" s="98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20"/>
      <c r="AD28" s="6"/>
      <c r="AE28" s="6"/>
      <c r="AF28" s="20"/>
    </row>
    <row r="29" spans="1:35" s="3" customFormat="1" ht="27" customHeight="1">
      <c r="A29" s="31"/>
      <c r="B29" s="10"/>
      <c r="C29" s="6"/>
      <c r="D29" s="20"/>
      <c r="E29" s="20"/>
      <c r="F29" s="20"/>
      <c r="G29" s="7"/>
      <c r="H29" s="84"/>
      <c r="I29" s="84"/>
      <c r="J29" s="157"/>
      <c r="K29" s="134"/>
      <c r="L29" s="134"/>
      <c r="M29" s="134"/>
      <c r="N29" s="134"/>
      <c r="O29" s="95"/>
      <c r="P29" s="95"/>
      <c r="Q29" s="98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20"/>
      <c r="AD29" s="6"/>
      <c r="AE29" s="6"/>
      <c r="AF29" s="20"/>
    </row>
    <row r="30" spans="1:35" s="3" customFormat="1" ht="27" customHeight="1">
      <c r="A30" s="31"/>
      <c r="B30" s="10"/>
      <c r="C30" s="6"/>
      <c r="D30" s="20"/>
      <c r="E30" s="20"/>
      <c r="F30" s="20"/>
      <c r="G30" s="7"/>
      <c r="H30" s="84"/>
      <c r="I30" s="84"/>
      <c r="J30" s="157"/>
      <c r="K30" s="134"/>
      <c r="L30" s="134"/>
      <c r="M30" s="134"/>
      <c r="N30" s="134"/>
      <c r="O30" s="95"/>
      <c r="P30" s="95"/>
      <c r="Q30" s="98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20"/>
      <c r="AD30" s="6"/>
      <c r="AE30" s="6"/>
      <c r="AF30" s="20"/>
    </row>
    <row r="31" spans="1:35" s="3" customFormat="1" ht="27" customHeight="1">
      <c r="A31" s="31"/>
      <c r="B31" s="10"/>
      <c r="C31" s="6"/>
      <c r="D31" s="20"/>
      <c r="E31" s="20"/>
      <c r="F31" s="20"/>
      <c r="G31" s="7"/>
      <c r="H31" s="84"/>
      <c r="I31" s="84"/>
      <c r="J31" s="157"/>
      <c r="K31" s="134"/>
      <c r="L31" s="134"/>
      <c r="M31" s="134"/>
      <c r="N31" s="134"/>
      <c r="O31" s="95"/>
      <c r="P31" s="95"/>
      <c r="Q31" s="98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20"/>
      <c r="AD31" s="6"/>
      <c r="AE31" s="6"/>
      <c r="AF31" s="20"/>
    </row>
    <row r="32" spans="1:35" s="3" customFormat="1" ht="27" customHeight="1">
      <c r="A32" s="31"/>
      <c r="B32" s="10"/>
      <c r="C32" s="6"/>
      <c r="D32" s="20"/>
      <c r="E32" s="20"/>
      <c r="F32" s="20"/>
      <c r="G32" s="7"/>
      <c r="H32" s="84"/>
      <c r="I32" s="84"/>
      <c r="J32" s="157"/>
      <c r="K32" s="134"/>
      <c r="L32" s="134"/>
      <c r="M32" s="134"/>
      <c r="N32" s="134"/>
      <c r="O32" s="95"/>
      <c r="P32" s="95"/>
      <c r="Q32" s="98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20"/>
      <c r="AD32" s="6"/>
      <c r="AE32" s="6"/>
      <c r="AF32" s="20"/>
    </row>
    <row r="33" spans="1:33" s="3" customFormat="1" ht="27" customHeight="1">
      <c r="A33" s="31"/>
      <c r="B33" s="10"/>
      <c r="C33" s="6"/>
      <c r="D33" s="20"/>
      <c r="E33" s="20"/>
      <c r="F33" s="20"/>
      <c r="G33" s="7"/>
      <c r="H33" s="84"/>
      <c r="I33" s="84"/>
      <c r="J33" s="157"/>
      <c r="K33" s="134"/>
      <c r="L33" s="134"/>
      <c r="M33" s="134"/>
      <c r="N33" s="134"/>
      <c r="O33" s="95"/>
      <c r="P33" s="95"/>
      <c r="Q33" s="98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20"/>
      <c r="AD33" s="6"/>
      <c r="AE33" s="6"/>
      <c r="AF33" s="20"/>
    </row>
    <row r="34" spans="1:33" s="3" customFormat="1" ht="27" customHeight="1">
      <c r="A34" s="241" t="s">
        <v>24</v>
      </c>
      <c r="B34" s="242"/>
      <c r="C34" s="242"/>
      <c r="D34" s="242"/>
      <c r="E34" s="242"/>
      <c r="F34" s="242"/>
      <c r="G34" s="243"/>
      <c r="H34" s="84"/>
      <c r="I34" s="84"/>
      <c r="J34" s="157"/>
      <c r="K34" s="134"/>
      <c r="L34" s="134"/>
      <c r="M34" s="134"/>
      <c r="N34" s="134"/>
      <c r="O34" s="95"/>
      <c r="P34" s="95"/>
      <c r="Q34" s="98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20"/>
      <c r="AD34" s="6"/>
      <c r="AE34" s="6"/>
      <c r="AF34" s="20"/>
    </row>
    <row r="35" spans="1:33" s="3" customFormat="1" ht="27" customHeight="1">
      <c r="A35" s="241" t="s">
        <v>244</v>
      </c>
      <c r="B35" s="242"/>
      <c r="C35" s="242"/>
      <c r="D35" s="242"/>
      <c r="E35" s="242"/>
      <c r="F35" s="242"/>
      <c r="G35" s="243"/>
      <c r="H35" s="84"/>
      <c r="I35" s="84"/>
      <c r="J35" s="157"/>
      <c r="K35" s="134"/>
      <c r="L35" s="134"/>
      <c r="M35" s="134"/>
      <c r="N35" s="134"/>
      <c r="O35" s="95"/>
      <c r="P35" s="95"/>
      <c r="Q35" s="98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20"/>
      <c r="AD35" s="6"/>
      <c r="AE35" s="6"/>
      <c r="AF35" s="20"/>
    </row>
    <row r="36" spans="1:33" s="3" customFormat="1" ht="27" customHeight="1">
      <c r="A36" s="241" t="str">
        <f>+A3</f>
        <v xml:space="preserve">AYUNTAMIENTO Y QUE  CORRESPONDEN A LA 2da QUINCENA DE NOVIEMBRE DE 2019 </v>
      </c>
      <c r="B36" s="242"/>
      <c r="C36" s="242"/>
      <c r="D36" s="242"/>
      <c r="E36" s="242"/>
      <c r="F36" s="242"/>
      <c r="G36" s="243"/>
      <c r="H36" s="84"/>
      <c r="I36" s="84"/>
      <c r="J36" s="157"/>
      <c r="K36" s="134"/>
      <c r="L36" s="134"/>
      <c r="M36" s="134"/>
      <c r="N36" s="134"/>
      <c r="O36" s="95"/>
      <c r="P36" s="95"/>
      <c r="Q36" s="98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20"/>
      <c r="AD36" s="6"/>
      <c r="AE36" s="6"/>
      <c r="AF36" s="20"/>
    </row>
    <row r="37" spans="1:33" s="3" customFormat="1" ht="27" customHeight="1">
      <c r="A37" s="241" t="s">
        <v>27</v>
      </c>
      <c r="B37" s="242"/>
      <c r="C37" s="242"/>
      <c r="D37" s="242"/>
      <c r="E37" s="242"/>
      <c r="F37" s="242"/>
      <c r="G37" s="243"/>
      <c r="H37" s="84"/>
      <c r="I37" s="84"/>
      <c r="J37" s="157"/>
      <c r="K37" s="134"/>
      <c r="L37" s="134"/>
      <c r="M37" s="134"/>
      <c r="N37" s="134"/>
      <c r="O37" s="95"/>
      <c r="P37" s="95"/>
      <c r="Q37" s="98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20"/>
      <c r="AD37" s="6"/>
      <c r="AE37" s="6"/>
      <c r="AF37" s="20"/>
    </row>
    <row r="38" spans="1:33" s="3" customFormat="1" ht="27" customHeight="1">
      <c r="A38" s="31"/>
      <c r="B38" s="10"/>
      <c r="C38" s="8"/>
      <c r="D38" s="20"/>
      <c r="E38" s="20"/>
      <c r="F38" s="20"/>
      <c r="G38" s="7"/>
      <c r="H38" s="84"/>
      <c r="I38" s="84"/>
      <c r="J38" s="157"/>
      <c r="K38" s="134"/>
      <c r="L38" s="134"/>
      <c r="M38" s="134"/>
      <c r="N38" s="134"/>
      <c r="O38" s="95"/>
      <c r="P38" s="95"/>
      <c r="Q38" s="98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20"/>
      <c r="AD38" s="6"/>
      <c r="AE38" s="6"/>
      <c r="AF38" s="20"/>
    </row>
    <row r="39" spans="1:33" s="3" customFormat="1" ht="27" customHeight="1">
      <c r="A39" s="31">
        <v>1</v>
      </c>
      <c r="B39" s="10"/>
      <c r="C39" s="8" t="str">
        <f t="shared" ref="B39:C39" si="21">+M39</f>
        <v>POLICIA DE LINEA</v>
      </c>
      <c r="D39" s="20">
        <f>H39</f>
        <v>391.47533333333337</v>
      </c>
      <c r="E39" s="20">
        <f>I39</f>
        <v>40.808666666666667</v>
      </c>
      <c r="F39" s="20">
        <f t="shared" ref="F39" si="22">D39-E39</f>
        <v>350.66666666666669</v>
      </c>
      <c r="G39" s="7"/>
      <c r="H39" s="84">
        <f t="shared" ref="H39" si="23">+N39/15</f>
        <v>391.47533333333337</v>
      </c>
      <c r="I39" s="84">
        <f t="shared" ref="I39" si="24">+P39/15</f>
        <v>40.808666666666667</v>
      </c>
      <c r="J39" s="86">
        <f t="shared" ref="J39" si="25">+H39-I39</f>
        <v>350.66666666666669</v>
      </c>
      <c r="K39" s="142"/>
      <c r="L39" s="98" t="s">
        <v>215</v>
      </c>
      <c r="M39" s="134" t="s">
        <v>90</v>
      </c>
      <c r="N39" s="134">
        <v>5872.13</v>
      </c>
      <c r="O39" s="95">
        <v>0</v>
      </c>
      <c r="P39" s="98">
        <v>612.13</v>
      </c>
      <c r="Q39" s="98"/>
      <c r="R39" s="6"/>
      <c r="S39" s="6"/>
      <c r="T39" s="6"/>
      <c r="U39" s="6"/>
      <c r="V39" s="6"/>
      <c r="W39" s="6"/>
      <c r="X39" s="6"/>
      <c r="Y39" s="6"/>
      <c r="Z39" s="6"/>
      <c r="AA39" s="6"/>
      <c r="AB39" s="20"/>
      <c r="AC39" s="6"/>
      <c r="AD39" s="6"/>
      <c r="AE39" s="20"/>
    </row>
    <row r="40" spans="1:33" s="3" customFormat="1" ht="27" customHeight="1">
      <c r="A40" s="31">
        <v>2</v>
      </c>
      <c r="B40" s="10"/>
      <c r="C40" s="8" t="str">
        <f t="shared" ref="C40:C42" si="26">+M40</f>
        <v>POLICIA DE LINEA</v>
      </c>
      <c r="D40" s="20">
        <f t="shared" ref="D40:D42" si="27">H40</f>
        <v>391.47533333333337</v>
      </c>
      <c r="E40" s="20">
        <f t="shared" ref="E40:E42" si="28">I40</f>
        <v>40.808666666666667</v>
      </c>
      <c r="F40" s="20">
        <f t="shared" ref="F40:F42" si="29">D40-E40</f>
        <v>350.66666666666669</v>
      </c>
      <c r="G40" s="7"/>
      <c r="H40" s="84">
        <f t="shared" ref="H40:H42" si="30">+N40/15</f>
        <v>391.47533333333337</v>
      </c>
      <c r="I40" s="84">
        <f t="shared" ref="I40:I42" si="31">+P40/15</f>
        <v>40.808666666666667</v>
      </c>
      <c r="J40" s="86">
        <f t="shared" ref="J40:J42" si="32">+H40-I40</f>
        <v>350.66666666666669</v>
      </c>
      <c r="K40" s="142"/>
      <c r="L40" s="98" t="s">
        <v>218</v>
      </c>
      <c r="M40" s="134" t="s">
        <v>90</v>
      </c>
      <c r="N40" s="134">
        <v>5872.13</v>
      </c>
      <c r="O40" s="95">
        <v>0</v>
      </c>
      <c r="P40" s="98">
        <v>612.13</v>
      </c>
      <c r="Q40" s="98"/>
      <c r="R40" s="6"/>
      <c r="S40" s="6"/>
      <c r="T40" s="6"/>
      <c r="U40" s="6"/>
      <c r="V40" s="6"/>
      <c r="W40" s="6"/>
      <c r="X40" s="6"/>
      <c r="Y40" s="6"/>
      <c r="Z40" s="6"/>
      <c r="AA40" s="6"/>
      <c r="AB40" s="20"/>
      <c r="AC40" s="6"/>
      <c r="AD40" s="6"/>
      <c r="AE40" s="20"/>
    </row>
    <row r="41" spans="1:33" s="3" customFormat="1" ht="27" customHeight="1">
      <c r="A41" s="31">
        <v>3</v>
      </c>
      <c r="B41" s="10" t="str">
        <f t="shared" ref="B40:B42" si="33">+L41</f>
        <v>MERCADO MENDOZA YVETTE JOCELYN</v>
      </c>
      <c r="C41" s="8" t="str">
        <f t="shared" si="26"/>
        <v>MEDICO MUNICIPAL</v>
      </c>
      <c r="D41" s="20">
        <f>H41*7.68</f>
        <v>3648.1126400000003</v>
      </c>
      <c r="E41" s="20">
        <f>I41*7.68</f>
        <v>448.11264</v>
      </c>
      <c r="F41" s="20">
        <f t="shared" si="29"/>
        <v>3200.0000000000005</v>
      </c>
      <c r="G41" s="7"/>
      <c r="H41" s="84">
        <f t="shared" si="30"/>
        <v>475.0146666666667</v>
      </c>
      <c r="I41" s="84">
        <f t="shared" si="31"/>
        <v>58.347999999999999</v>
      </c>
      <c r="J41" s="86">
        <f t="shared" si="32"/>
        <v>416.66666666666669</v>
      </c>
      <c r="K41" s="142"/>
      <c r="L41" s="98" t="s">
        <v>312</v>
      </c>
      <c r="M41" s="134" t="s">
        <v>313</v>
      </c>
      <c r="N41" s="134">
        <v>7125.22</v>
      </c>
      <c r="O41" s="95">
        <v>0</v>
      </c>
      <c r="P41" s="98">
        <v>875.22</v>
      </c>
      <c r="Q41" s="98"/>
      <c r="R41" s="6"/>
      <c r="S41" s="6"/>
      <c r="T41" s="6"/>
      <c r="U41" s="6"/>
      <c r="V41" s="6"/>
      <c r="W41" s="6"/>
      <c r="X41" s="6"/>
      <c r="Y41" s="6"/>
      <c r="Z41" s="6"/>
      <c r="AA41" s="6"/>
      <c r="AB41" s="20"/>
      <c r="AC41" s="6"/>
      <c r="AD41" s="6"/>
      <c r="AE41" s="20"/>
    </row>
    <row r="42" spans="1:33" s="3" customFormat="1" ht="27" customHeight="1">
      <c r="A42" s="31">
        <v>4</v>
      </c>
      <c r="B42" s="10"/>
      <c r="C42" s="8" t="str">
        <f t="shared" si="26"/>
        <v>POLICIA DE LINEA</v>
      </c>
      <c r="D42" s="20">
        <f t="shared" si="27"/>
        <v>391.47533333333337</v>
      </c>
      <c r="E42" s="20">
        <f t="shared" si="28"/>
        <v>40.808666666666667</v>
      </c>
      <c r="F42" s="20">
        <f t="shared" si="29"/>
        <v>350.66666666666669</v>
      </c>
      <c r="G42" s="7"/>
      <c r="H42" s="84">
        <f t="shared" si="30"/>
        <v>391.47533333333337</v>
      </c>
      <c r="I42" s="84">
        <f t="shared" si="31"/>
        <v>40.808666666666667</v>
      </c>
      <c r="J42" s="86">
        <f t="shared" si="32"/>
        <v>350.66666666666669</v>
      </c>
      <c r="K42" s="142"/>
      <c r="L42" s="98" t="s">
        <v>314</v>
      </c>
      <c r="M42" s="134" t="s">
        <v>90</v>
      </c>
      <c r="N42" s="134">
        <v>5872.13</v>
      </c>
      <c r="O42" s="95">
        <v>0</v>
      </c>
      <c r="P42" s="98">
        <v>612.13</v>
      </c>
      <c r="Q42" s="98"/>
      <c r="R42" s="6"/>
      <c r="S42" s="6"/>
      <c r="T42" s="6"/>
      <c r="U42" s="6"/>
      <c r="V42" s="6"/>
      <c r="W42" s="6"/>
      <c r="X42" s="6"/>
      <c r="Y42" s="6"/>
      <c r="Z42" s="6"/>
      <c r="AA42" s="6"/>
      <c r="AB42" s="20"/>
      <c r="AC42" s="6"/>
      <c r="AD42" s="6"/>
      <c r="AE42" s="20"/>
    </row>
    <row r="43" spans="1:33" s="3" customFormat="1" ht="27" customHeight="1">
      <c r="A43" s="31"/>
      <c r="B43" s="10"/>
      <c r="C43" s="8"/>
      <c r="D43" s="20"/>
      <c r="E43" s="20"/>
      <c r="F43" s="20"/>
      <c r="G43" s="7"/>
      <c r="H43" s="84"/>
      <c r="I43" s="84"/>
      <c r="J43" s="86"/>
      <c r="K43" s="142"/>
      <c r="L43" s="98"/>
      <c r="M43" s="134"/>
      <c r="N43" s="134"/>
      <c r="O43" s="95"/>
      <c r="P43" s="98"/>
      <c r="Q43" s="98"/>
      <c r="R43" s="6"/>
      <c r="S43" s="6"/>
      <c r="T43" s="6"/>
      <c r="U43" s="6"/>
      <c r="V43" s="6"/>
      <c r="W43" s="6"/>
      <c r="X43" s="6"/>
      <c r="Y43" s="6"/>
      <c r="Z43" s="6"/>
      <c r="AA43" s="6"/>
      <c r="AB43" s="20"/>
      <c r="AC43" s="6"/>
      <c r="AD43" s="6"/>
      <c r="AE43" s="20"/>
    </row>
    <row r="44" spans="1:33" s="3" customFormat="1" ht="27" customHeight="1">
      <c r="A44" s="31"/>
      <c r="B44" s="10"/>
      <c r="C44" s="67" t="s">
        <v>165</v>
      </c>
      <c r="D44" s="63">
        <f>SUM(D39:D43)</f>
        <v>4822.5386400000007</v>
      </c>
      <c r="E44" s="63">
        <f>SUM(E39:E43)</f>
        <v>570.53863999999999</v>
      </c>
      <c r="F44" s="63">
        <f>SUM(F39:F43)</f>
        <v>4252.0000000000009</v>
      </c>
      <c r="G44" s="7"/>
      <c r="H44" s="84"/>
      <c r="I44" s="84"/>
      <c r="J44" s="157"/>
      <c r="K44" s="134"/>
      <c r="L44" s="134"/>
      <c r="M44" s="134"/>
      <c r="N44" s="97"/>
      <c r="O44" s="95"/>
      <c r="P44" s="95"/>
      <c r="Q44" s="98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20"/>
      <c r="AD44" s="6"/>
      <c r="AE44" s="6"/>
      <c r="AF44" s="20"/>
    </row>
    <row r="45" spans="1:33" s="3" customFormat="1" ht="27" customHeight="1">
      <c r="A45" s="31"/>
      <c r="B45" s="10"/>
      <c r="C45" s="6"/>
      <c r="D45" s="20"/>
      <c r="E45" s="20"/>
      <c r="F45" s="20"/>
      <c r="G45" s="7"/>
      <c r="H45" s="84"/>
      <c r="I45" s="84"/>
      <c r="J45" s="157"/>
      <c r="K45" s="134"/>
      <c r="L45" s="134"/>
      <c r="M45" s="134"/>
      <c r="N45" s="97"/>
      <c r="O45" s="95"/>
      <c r="P45" s="95"/>
      <c r="Q45" s="98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20"/>
      <c r="AD45" s="6"/>
      <c r="AE45" s="6"/>
      <c r="AF45" s="20"/>
    </row>
    <row r="46" spans="1:33" s="3" customFormat="1" ht="27" customHeight="1">
      <c r="A46" s="31"/>
      <c r="B46" s="10" t="s">
        <v>315</v>
      </c>
      <c r="C46" s="6"/>
      <c r="D46" s="20"/>
      <c r="E46" s="20"/>
      <c r="F46" s="20"/>
      <c r="G46" s="7"/>
      <c r="H46" s="84"/>
      <c r="I46" s="84"/>
      <c r="J46" s="157"/>
      <c r="K46" s="134"/>
      <c r="L46" s="134"/>
      <c r="M46" s="134"/>
      <c r="N46" s="134"/>
      <c r="O46" s="95"/>
      <c r="P46" s="97"/>
      <c r="Q46" s="98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20"/>
      <c r="AE46" s="6"/>
      <c r="AF46" s="6"/>
      <c r="AG46" s="20"/>
    </row>
    <row r="47" spans="1:33" s="3" customFormat="1" ht="27" customHeight="1">
      <c r="A47" s="31"/>
      <c r="B47" s="10" t="str">
        <f>+B28</f>
        <v>IXTLAHUACAN DEL RIO JALISCO A 30 DE NOVIEMBRE DE 2019</v>
      </c>
      <c r="C47" s="6"/>
      <c r="D47" s="20"/>
      <c r="E47" s="20"/>
      <c r="F47" s="20"/>
      <c r="G47" s="7"/>
      <c r="H47" s="84"/>
      <c r="I47" s="84"/>
      <c r="J47" s="157"/>
      <c r="K47" s="134"/>
      <c r="L47" s="134"/>
      <c r="M47" s="134"/>
      <c r="N47" s="134"/>
      <c r="O47" s="95"/>
      <c r="P47" s="97"/>
      <c r="Q47" s="98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20"/>
      <c r="AE47" s="6"/>
      <c r="AF47" s="6"/>
      <c r="AG47" s="20"/>
    </row>
    <row r="48" spans="1:33" s="3" customFormat="1" ht="27" customHeight="1">
      <c r="A48" s="31"/>
      <c r="B48" s="10"/>
      <c r="C48" s="6"/>
      <c r="D48" s="20"/>
      <c r="E48" s="20"/>
      <c r="F48" s="20"/>
      <c r="G48" s="7"/>
      <c r="H48" s="84"/>
      <c r="I48" s="84"/>
      <c r="J48" s="157"/>
      <c r="K48" s="134"/>
      <c r="L48" s="134"/>
      <c r="M48" s="134"/>
      <c r="N48" s="134"/>
      <c r="O48" s="95"/>
      <c r="P48" s="97"/>
      <c r="Q48" s="98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20"/>
      <c r="AE48" s="6"/>
      <c r="AF48" s="6"/>
      <c r="AG48" s="20"/>
    </row>
    <row r="49" spans="1:34" s="3" customFormat="1" ht="27" customHeight="1">
      <c r="A49" s="31"/>
      <c r="B49" s="10"/>
      <c r="C49" s="6"/>
      <c r="D49" s="20"/>
      <c r="E49" s="20"/>
      <c r="F49" s="20"/>
      <c r="G49" s="7"/>
      <c r="H49" s="84"/>
      <c r="I49" s="84"/>
      <c r="J49" s="157"/>
      <c r="K49" s="134"/>
      <c r="L49" s="134"/>
      <c r="M49" s="134"/>
      <c r="N49" s="134"/>
      <c r="O49" s="95"/>
      <c r="P49" s="97"/>
      <c r="Q49" s="98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20"/>
      <c r="AE49" s="6"/>
      <c r="AF49" s="6"/>
      <c r="AG49" s="20"/>
    </row>
    <row r="50" spans="1:34" s="3" customFormat="1" ht="27" customHeight="1">
      <c r="A50" s="31"/>
      <c r="B50" s="10"/>
      <c r="C50" s="6"/>
      <c r="D50" s="20"/>
      <c r="E50" s="20"/>
      <c r="F50" s="20"/>
      <c r="G50" s="7"/>
      <c r="H50" s="84"/>
      <c r="I50" s="84"/>
      <c r="J50" s="157"/>
      <c r="K50" s="134"/>
      <c r="L50" s="134"/>
      <c r="M50" s="134"/>
      <c r="N50" s="134"/>
      <c r="O50" s="97"/>
      <c r="P50" s="134"/>
      <c r="Q50" s="95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20"/>
      <c r="AF50" s="6"/>
      <c r="AG50" s="6"/>
      <c r="AH50" s="20"/>
    </row>
    <row r="51" spans="1:34" s="3" customFormat="1" ht="27" customHeight="1">
      <c r="A51" s="9"/>
      <c r="B51" s="10"/>
      <c r="C51" s="26"/>
      <c r="D51" s="4"/>
      <c r="E51" s="4"/>
      <c r="F51" s="4"/>
      <c r="G51" s="7"/>
      <c r="H51" s="84"/>
      <c r="I51" s="91"/>
      <c r="J51" s="157"/>
      <c r="K51" s="87"/>
      <c r="L51" s="110"/>
      <c r="M51" s="118"/>
      <c r="N51" s="118"/>
      <c r="O51" s="131"/>
      <c r="P51" s="118"/>
      <c r="Q51" s="9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20"/>
      <c r="AF51" s="6"/>
      <c r="AG51" s="6"/>
      <c r="AH51" s="20"/>
    </row>
    <row r="52" spans="1:34" s="3" customFormat="1" ht="27" customHeight="1">
      <c r="A52" s="9"/>
      <c r="B52" s="10"/>
      <c r="C52" s="26"/>
      <c r="D52" s="32"/>
      <c r="E52" s="32"/>
      <c r="F52" s="32"/>
      <c r="G52" s="7"/>
      <c r="H52" s="84"/>
      <c r="I52" s="91"/>
      <c r="J52" s="157"/>
      <c r="K52" s="87"/>
      <c r="L52" s="110"/>
      <c r="M52" s="118"/>
      <c r="N52" s="118"/>
      <c r="O52" s="131"/>
      <c r="P52" s="118"/>
      <c r="Q52" s="95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20"/>
      <c r="AF52" s="6"/>
      <c r="AG52" s="6"/>
      <c r="AH52" s="20"/>
    </row>
    <row r="53" spans="1:34" s="3" customFormat="1" ht="27" customHeight="1">
      <c r="A53" s="9"/>
      <c r="C53" s="30"/>
      <c r="D53" s="4"/>
      <c r="E53" s="4"/>
      <c r="F53" s="4"/>
      <c r="G53" s="7" t="s">
        <v>18</v>
      </c>
      <c r="H53" s="84"/>
      <c r="I53" s="91"/>
      <c r="J53" s="157">
        <f>SUM(H53-I53)</f>
        <v>0</v>
      </c>
      <c r="K53" s="87"/>
      <c r="L53" s="110"/>
      <c r="M53" s="118"/>
      <c r="N53" s="120"/>
      <c r="O53" s="131"/>
      <c r="P53" s="131"/>
      <c r="Q53" s="9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20"/>
      <c r="AF53" s="6"/>
      <c r="AG53" s="6"/>
      <c r="AH53" s="20"/>
    </row>
    <row r="54" spans="1:34" s="3" customFormat="1" ht="27" customHeight="1">
      <c r="A54" s="9"/>
      <c r="C54" s="26"/>
      <c r="D54" s="4"/>
      <c r="E54" s="4"/>
      <c r="F54" s="4"/>
      <c r="G54" s="7" t="s">
        <v>18</v>
      </c>
      <c r="H54" s="84"/>
      <c r="I54" s="91"/>
      <c r="J54" s="157">
        <f>SUM(H54-I54)</f>
        <v>0</v>
      </c>
      <c r="K54" s="87"/>
      <c r="L54" s="109"/>
      <c r="M54" s="95"/>
      <c r="N54" s="117"/>
      <c r="O54" s="131"/>
      <c r="P54" s="131"/>
      <c r="Q54" s="95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20"/>
      <c r="AF54" s="6"/>
      <c r="AG54" s="6"/>
      <c r="AH54" s="20"/>
    </row>
    <row r="55" spans="1:34" s="3" customFormat="1" ht="27" customHeight="1">
      <c r="A55" s="9"/>
      <c r="B55" s="10"/>
      <c r="C55" s="26"/>
      <c r="D55" s="28"/>
      <c r="E55" s="28"/>
      <c r="F55" s="21"/>
      <c r="G55" s="7" t="s">
        <v>18</v>
      </c>
      <c r="H55" s="91"/>
      <c r="I55" s="91"/>
      <c r="J55" s="157"/>
      <c r="K55" s="98"/>
      <c r="L55" s="98"/>
      <c r="M55" s="95"/>
      <c r="N55" s="117"/>
      <c r="O55" s="131"/>
      <c r="P55" s="131"/>
      <c r="Q55" s="95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20"/>
      <c r="AF55" s="6"/>
      <c r="AG55" s="6"/>
      <c r="AH55" s="20"/>
    </row>
    <row r="63" spans="1:34" ht="27" customHeight="1">
      <c r="D63" s="20"/>
      <c r="E63" s="20"/>
      <c r="F63" s="20"/>
    </row>
    <row r="64" spans="1:34" ht="27" customHeight="1">
      <c r="D64" s="20"/>
      <c r="E64" s="20"/>
      <c r="F64" s="20"/>
    </row>
    <row r="65" spans="3:6" ht="27" customHeight="1">
      <c r="D65" s="20"/>
      <c r="E65" s="20"/>
      <c r="F65" s="20"/>
    </row>
    <row r="66" spans="3:6" ht="27" customHeight="1">
      <c r="D66" s="20"/>
      <c r="E66" s="20"/>
      <c r="F66" s="20"/>
    </row>
    <row r="67" spans="3:6" ht="27" customHeight="1">
      <c r="C67" s="62"/>
      <c r="D67" s="63"/>
      <c r="E67" s="63"/>
      <c r="F67" s="63"/>
    </row>
  </sheetData>
  <mergeCells count="8">
    <mergeCell ref="A36:G36"/>
    <mergeCell ref="A37:G37"/>
    <mergeCell ref="A1:G1"/>
    <mergeCell ref="A2:G2"/>
    <mergeCell ref="A3:G3"/>
    <mergeCell ref="A4:G4"/>
    <mergeCell ref="A34:G34"/>
    <mergeCell ref="A35:G35"/>
  </mergeCells>
  <pageMargins left="0.23622047244094491" right="0.23622047244094491" top="0.74803149606299213" bottom="0.74803149606299213" header="0.31496062992125984" footer="0.31496062992125984"/>
  <pageSetup scale="4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zoomScale="80" zoomScaleNormal="80" workbookViewId="0">
      <selection activeCell="B28" sqref="B28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19.28515625" style="30" bestFit="1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47.5703125" style="6" customWidth="1"/>
    <col min="8" max="8" width="11.42578125" style="84"/>
    <col min="9" max="9" width="9.5703125" style="91" customWidth="1"/>
    <col min="10" max="10" width="17.5703125" style="157" customWidth="1"/>
    <col min="11" max="11" width="16.7109375" style="87" customWidth="1"/>
    <col min="12" max="12" width="23.42578125" style="109" customWidth="1"/>
    <col min="13" max="13" width="9.7109375" style="95" customWidth="1"/>
    <col min="14" max="14" width="10" style="117" bestFit="1" customWidth="1"/>
    <col min="15" max="15" width="7.85546875" style="132" bestFit="1" customWidth="1"/>
    <col min="16" max="16" width="7.7109375" style="3" bestFit="1" customWidth="1"/>
    <col min="17" max="17" width="11.7109375" style="2" customWidth="1"/>
    <col min="18" max="18" width="6.85546875" style="6" customWidth="1"/>
    <col min="19" max="19" width="13.85546875" style="6" customWidth="1"/>
    <col min="20" max="20" width="11.7109375" style="6" customWidth="1"/>
    <col min="21" max="21" width="43.42578125" style="6" customWidth="1"/>
    <col min="22" max="30" width="11.7109375" style="6" customWidth="1"/>
    <col min="31" max="31" width="11.7109375" style="20" customWidth="1"/>
    <col min="32" max="33" width="11.7109375" style="6" customWidth="1"/>
    <col min="34" max="34" width="11.7109375" style="20" customWidth="1"/>
    <col min="35" max="35" width="11.7109375" style="6" customWidth="1"/>
    <col min="36" max="36" width="2.28515625" style="6" customWidth="1"/>
    <col min="37" max="37" width="15.5703125" style="6" customWidth="1"/>
    <col min="38" max="38" width="11.42578125" style="6" customWidth="1"/>
    <col min="39" max="39" width="11.42578125" style="6"/>
    <col min="40" max="40" width="11.42578125" style="6" customWidth="1"/>
    <col min="41" max="41" width="42.28515625" style="6" customWidth="1"/>
    <col min="42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153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300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s="3" customFormat="1" ht="27" customHeight="1">
      <c r="A7" s="31">
        <v>1</v>
      </c>
      <c r="B7" s="8" t="str">
        <f t="shared" ref="B7:C8" si="0">+L7</f>
        <v xml:space="preserve">GONZALEZ VAZQUEZ JORGE ARMANDO </v>
      </c>
      <c r="C7" s="6" t="str">
        <f t="shared" si="0"/>
        <v>BASURA</v>
      </c>
      <c r="D7" s="20">
        <f>H7*0.75</f>
        <v>126</v>
      </c>
      <c r="E7" s="20">
        <f t="shared" ref="E7" si="1">I7</f>
        <v>0</v>
      </c>
      <c r="F7" s="20">
        <f t="shared" ref="F7:F8" si="2">D7-E7</f>
        <v>126</v>
      </c>
      <c r="G7" s="24"/>
      <c r="H7" s="84">
        <f t="shared" ref="H7:H8" si="3">+N7/15</f>
        <v>168</v>
      </c>
      <c r="I7" s="84">
        <f t="shared" ref="I7:I8" si="4">+P7/15</f>
        <v>0</v>
      </c>
      <c r="J7" s="157">
        <f t="shared" ref="J7:J8" si="5">+H7-I7</f>
        <v>168</v>
      </c>
      <c r="K7" s="142"/>
      <c r="L7" s="98" t="s">
        <v>156</v>
      </c>
      <c r="M7" s="143" t="s">
        <v>133</v>
      </c>
      <c r="N7" s="144">
        <v>2520</v>
      </c>
      <c r="O7" s="41">
        <v>11.21</v>
      </c>
      <c r="P7" s="41">
        <v>0</v>
      </c>
      <c r="Q7" s="2"/>
      <c r="R7" s="2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20"/>
      <c r="AG7" s="6"/>
      <c r="AH7" s="6"/>
      <c r="AI7" s="20"/>
    </row>
    <row r="8" spans="1:35" s="3" customFormat="1" ht="27" customHeight="1">
      <c r="A8" s="31">
        <v>2</v>
      </c>
      <c r="B8" s="8" t="str">
        <f t="shared" si="0"/>
        <v xml:space="preserve">GONZALEZ VAZQUEZ SALVADOR </v>
      </c>
      <c r="C8" s="6" t="str">
        <f t="shared" si="0"/>
        <v>BASURA</v>
      </c>
      <c r="D8" s="20">
        <f>H8*0.75</f>
        <v>254.95</v>
      </c>
      <c r="E8" s="20">
        <f>I8*2.375</f>
        <v>74.983499999999992</v>
      </c>
      <c r="F8" s="20">
        <f t="shared" si="2"/>
        <v>179.9665</v>
      </c>
      <c r="G8" s="24"/>
      <c r="H8" s="84">
        <f t="shared" si="3"/>
        <v>339.93333333333334</v>
      </c>
      <c r="I8" s="84">
        <f t="shared" si="4"/>
        <v>31.571999999999999</v>
      </c>
      <c r="J8" s="157">
        <f t="shared" si="5"/>
        <v>308.36133333333333</v>
      </c>
      <c r="K8" s="142"/>
      <c r="L8" s="98" t="s">
        <v>137</v>
      </c>
      <c r="M8" s="143" t="s">
        <v>133</v>
      </c>
      <c r="N8" s="144">
        <v>5099</v>
      </c>
      <c r="O8" s="41">
        <v>0</v>
      </c>
      <c r="P8" s="41">
        <v>473.58</v>
      </c>
      <c r="Q8" s="2"/>
      <c r="R8" s="2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6"/>
      <c r="AH8" s="6"/>
      <c r="AI8" s="20"/>
    </row>
    <row r="9" spans="1:35" s="3" customFormat="1" ht="27" customHeight="1">
      <c r="A9" s="31"/>
      <c r="B9" s="10"/>
      <c r="C9" s="67" t="s">
        <v>165</v>
      </c>
      <c r="D9" s="63">
        <f>SUM(D7:D8)</f>
        <v>380.95</v>
      </c>
      <c r="E9" s="63">
        <f>SUM(E7:E8)</f>
        <v>74.983499999999992</v>
      </c>
      <c r="F9" s="63">
        <f>SUM(F7:F8)</f>
        <v>305.9665</v>
      </c>
      <c r="G9" s="7"/>
      <c r="H9" s="84"/>
      <c r="I9" s="84"/>
      <c r="J9" s="157"/>
      <c r="K9" s="134"/>
      <c r="L9" s="134"/>
      <c r="M9" s="134"/>
      <c r="N9" s="97"/>
      <c r="O9" s="137"/>
      <c r="P9" s="2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20"/>
      <c r="AD9" s="6"/>
      <c r="AE9" s="6"/>
      <c r="AF9" s="20"/>
    </row>
    <row r="10" spans="1:35" s="3" customFormat="1" ht="27" customHeight="1">
      <c r="A10" s="31"/>
      <c r="B10" s="10" t="s">
        <v>301</v>
      </c>
      <c r="C10" s="6"/>
      <c r="D10" s="20"/>
      <c r="E10" s="20"/>
      <c r="F10" s="20"/>
      <c r="G10" s="7"/>
      <c r="H10" s="84"/>
      <c r="I10" s="84"/>
      <c r="J10" s="157"/>
      <c r="K10" s="134"/>
      <c r="L10" s="134"/>
      <c r="M10" s="134"/>
      <c r="N10" s="134"/>
      <c r="O10" s="137"/>
      <c r="P10" s="2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20"/>
      <c r="AD10" s="6"/>
      <c r="AE10" s="6"/>
      <c r="AF10" s="20"/>
    </row>
    <row r="11" spans="1:35" s="3" customFormat="1" ht="27" customHeight="1">
      <c r="A11" s="31"/>
      <c r="B11" s="10" t="s">
        <v>302</v>
      </c>
      <c r="C11" s="6"/>
      <c r="D11" s="20"/>
      <c r="E11" s="20"/>
      <c r="F11" s="20"/>
      <c r="G11" s="7"/>
      <c r="H11" s="84"/>
      <c r="I11" s="84"/>
      <c r="J11" s="157"/>
      <c r="K11" s="134"/>
      <c r="L11" s="134"/>
      <c r="M11" s="134"/>
      <c r="N11" s="134"/>
      <c r="O11" s="137"/>
      <c r="P11" s="2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20"/>
      <c r="AD11" s="6"/>
      <c r="AE11" s="6"/>
      <c r="AF11" s="20"/>
    </row>
    <row r="12" spans="1:35" s="3" customFormat="1" ht="27" customHeight="1">
      <c r="A12" s="31"/>
      <c r="B12" s="10"/>
      <c r="C12" s="6"/>
      <c r="D12" s="20"/>
      <c r="E12" s="20"/>
      <c r="F12" s="20"/>
      <c r="G12" s="7"/>
      <c r="H12" s="84"/>
      <c r="I12" s="84"/>
      <c r="J12" s="157"/>
      <c r="K12" s="134"/>
      <c r="L12" s="134"/>
      <c r="M12" s="134"/>
      <c r="N12" s="134"/>
      <c r="O12" s="137"/>
      <c r="P12" s="2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20"/>
      <c r="AD12" s="6"/>
      <c r="AE12" s="6"/>
      <c r="AF12" s="20"/>
    </row>
    <row r="13" spans="1:35" s="3" customFormat="1" ht="27" customHeight="1">
      <c r="A13" s="31"/>
      <c r="B13" s="10"/>
      <c r="C13" s="6"/>
      <c r="D13" s="20"/>
      <c r="E13" s="20"/>
      <c r="F13" s="20"/>
      <c r="G13" s="7"/>
      <c r="H13" s="84"/>
      <c r="I13" s="84"/>
      <c r="J13" s="157"/>
      <c r="K13" s="134"/>
      <c r="L13" s="134"/>
      <c r="M13" s="134"/>
      <c r="N13" s="134"/>
      <c r="O13" s="137"/>
      <c r="P13" s="2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20"/>
      <c r="AD13" s="6"/>
      <c r="AE13" s="6"/>
      <c r="AF13" s="20"/>
    </row>
    <row r="14" spans="1:35" s="3" customFormat="1" ht="27" customHeight="1">
      <c r="A14" s="31"/>
      <c r="B14" s="10"/>
      <c r="C14" s="6"/>
      <c r="D14" s="20"/>
      <c r="E14" s="20"/>
      <c r="F14" s="20"/>
      <c r="G14" s="7"/>
      <c r="H14" s="84"/>
      <c r="I14" s="84"/>
      <c r="J14" s="157"/>
      <c r="K14" s="134"/>
      <c r="L14" s="134"/>
      <c r="M14" s="134"/>
      <c r="N14" s="134"/>
      <c r="O14" s="137"/>
      <c r="P14" s="2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20"/>
      <c r="AD14" s="6"/>
      <c r="AE14" s="6"/>
      <c r="AF14" s="20"/>
    </row>
    <row r="15" spans="1:35" s="3" customFormat="1" ht="27" customHeight="1">
      <c r="A15" s="31"/>
      <c r="B15" s="10"/>
      <c r="C15" s="6"/>
      <c r="D15" s="20"/>
      <c r="E15" s="20"/>
      <c r="F15" s="20"/>
      <c r="G15" s="7"/>
      <c r="H15" s="84"/>
      <c r="I15" s="84"/>
      <c r="J15" s="157"/>
      <c r="K15" s="134"/>
      <c r="L15" s="134"/>
      <c r="M15" s="134"/>
      <c r="N15" s="134"/>
      <c r="O15" s="137"/>
      <c r="P15" s="2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20"/>
      <c r="AD15" s="6"/>
      <c r="AE15" s="6"/>
      <c r="AF15" s="20"/>
    </row>
    <row r="16" spans="1:35" s="3" customFormat="1" ht="27" customHeight="1">
      <c r="A16" s="31"/>
      <c r="B16" s="10"/>
      <c r="C16" s="6"/>
      <c r="D16" s="20"/>
      <c r="E16" s="20"/>
      <c r="F16" s="20"/>
      <c r="G16" s="7"/>
      <c r="H16" s="84"/>
      <c r="I16" s="84"/>
      <c r="J16" s="157"/>
      <c r="K16" s="134"/>
      <c r="L16" s="134"/>
      <c r="M16" s="134"/>
      <c r="N16" s="134"/>
      <c r="O16" s="137"/>
      <c r="P16" s="2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20"/>
      <c r="AD16" s="6"/>
      <c r="AE16" s="6"/>
      <c r="AF16" s="20"/>
    </row>
    <row r="17" spans="1:33" s="3" customFormat="1" ht="27" customHeight="1">
      <c r="A17" s="241" t="s">
        <v>24</v>
      </c>
      <c r="B17" s="242"/>
      <c r="C17" s="242"/>
      <c r="D17" s="242"/>
      <c r="E17" s="242"/>
      <c r="F17" s="242"/>
      <c r="G17" s="243"/>
      <c r="H17" s="84"/>
      <c r="I17" s="84"/>
      <c r="J17" s="157"/>
      <c r="K17" s="134"/>
      <c r="L17" s="134"/>
      <c r="M17" s="134"/>
      <c r="N17" s="134"/>
      <c r="O17" s="137"/>
      <c r="P17" s="2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20"/>
      <c r="AD17" s="6"/>
      <c r="AE17" s="6"/>
      <c r="AF17" s="20"/>
    </row>
    <row r="18" spans="1:33" s="3" customFormat="1" ht="27" customHeight="1">
      <c r="A18" s="241" t="s">
        <v>244</v>
      </c>
      <c r="B18" s="242"/>
      <c r="C18" s="242"/>
      <c r="D18" s="242"/>
      <c r="E18" s="242"/>
      <c r="F18" s="242"/>
      <c r="G18" s="243"/>
      <c r="H18" s="84"/>
      <c r="I18" s="84"/>
      <c r="J18" s="157"/>
      <c r="K18" s="134"/>
      <c r="L18" s="134"/>
      <c r="M18" s="134"/>
      <c r="N18" s="134"/>
      <c r="O18" s="137"/>
      <c r="P18" s="2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20"/>
      <c r="AD18" s="6"/>
      <c r="AE18" s="6"/>
      <c r="AF18" s="20"/>
    </row>
    <row r="19" spans="1:33" s="3" customFormat="1" ht="27" customHeight="1">
      <c r="A19" s="241" t="str">
        <f>+A3</f>
        <v xml:space="preserve">AYUNTAMIENTO Y QUE  CORRESPONDEN A LA 1ER QUINCENA DE NOVIEMBRE DE 2019 </v>
      </c>
      <c r="B19" s="242"/>
      <c r="C19" s="242"/>
      <c r="D19" s="242"/>
      <c r="E19" s="242"/>
      <c r="F19" s="242"/>
      <c r="G19" s="243"/>
      <c r="H19" s="84"/>
      <c r="I19" s="84"/>
      <c r="J19" s="157"/>
      <c r="K19" s="134"/>
      <c r="L19" s="134"/>
      <c r="M19" s="134"/>
      <c r="N19" s="134"/>
      <c r="O19" s="137"/>
      <c r="P19" s="2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20"/>
      <c r="AD19" s="6"/>
      <c r="AE19" s="6"/>
      <c r="AF19" s="20"/>
    </row>
    <row r="20" spans="1:33" s="3" customFormat="1" ht="27" customHeight="1">
      <c r="A20" s="241" t="s">
        <v>27</v>
      </c>
      <c r="B20" s="242"/>
      <c r="C20" s="242"/>
      <c r="D20" s="242"/>
      <c r="E20" s="242"/>
      <c r="F20" s="242"/>
      <c r="G20" s="243"/>
      <c r="H20" s="84"/>
      <c r="I20" s="84"/>
      <c r="J20" s="157"/>
      <c r="K20" s="134"/>
      <c r="L20" s="134"/>
      <c r="M20" s="134"/>
      <c r="N20" s="134"/>
      <c r="O20" s="137"/>
      <c r="P20" s="2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20"/>
      <c r="AD20" s="6"/>
      <c r="AE20" s="6"/>
      <c r="AF20" s="20"/>
    </row>
    <row r="21" spans="1:33" s="3" customFormat="1" ht="27" customHeight="1">
      <c r="A21" s="31"/>
      <c r="B21" s="10"/>
      <c r="C21" s="8"/>
      <c r="D21" s="20"/>
      <c r="E21" s="20"/>
      <c r="F21" s="20"/>
      <c r="G21" s="7"/>
      <c r="H21" s="84"/>
      <c r="I21" s="84"/>
      <c r="J21" s="157"/>
      <c r="K21" s="134"/>
      <c r="L21" s="134"/>
      <c r="M21" s="134"/>
      <c r="N21" s="134"/>
      <c r="O21" s="137"/>
      <c r="P21" s="2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20"/>
      <c r="AD21" s="6"/>
      <c r="AE21" s="6"/>
      <c r="AF21" s="20"/>
    </row>
    <row r="22" spans="1:33" s="3" customFormat="1" ht="27" customHeight="1">
      <c r="A22" s="31">
        <v>9</v>
      </c>
      <c r="B22" s="10"/>
      <c r="C22" s="8" t="str">
        <f t="shared" ref="B22:C24" si="6">+M22</f>
        <v>POLICIA DE LINEA</v>
      </c>
      <c r="D22" s="20">
        <f>H22</f>
        <v>391.47533333333337</v>
      </c>
      <c r="E22" s="20">
        <f>I22</f>
        <v>40.808666666666667</v>
      </c>
      <c r="F22" s="20">
        <f t="shared" ref="F22:F24" si="7">D22-E22</f>
        <v>350.66666666666669</v>
      </c>
      <c r="G22" s="7"/>
      <c r="H22" s="84">
        <f t="shared" ref="H22:H24" si="8">+N22/15</f>
        <v>391.47533333333337</v>
      </c>
      <c r="I22" s="84">
        <f t="shared" ref="I22:I24" si="9">+P22/15</f>
        <v>40.808666666666667</v>
      </c>
      <c r="J22" s="86">
        <f t="shared" ref="J22:J24" si="10">+H22-I22</f>
        <v>350.66666666666669</v>
      </c>
      <c r="K22" s="142"/>
      <c r="L22" s="98" t="s">
        <v>242</v>
      </c>
      <c r="M22" s="134" t="s">
        <v>90</v>
      </c>
      <c r="N22" s="134">
        <v>5872.13</v>
      </c>
      <c r="O22" s="137">
        <v>0</v>
      </c>
      <c r="P22" s="6">
        <v>612.13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20"/>
      <c r="AC22" s="6"/>
      <c r="AD22" s="6"/>
      <c r="AE22" s="20"/>
    </row>
    <row r="23" spans="1:33" s="3" customFormat="1" ht="27" customHeight="1">
      <c r="A23" s="31">
        <v>13</v>
      </c>
      <c r="B23" s="10"/>
      <c r="C23" s="8" t="str">
        <f t="shared" si="6"/>
        <v>POLICIA DE LINEA</v>
      </c>
      <c r="D23" s="20">
        <f t="shared" ref="D23:D24" si="11">H23</f>
        <v>391.47533333333337</v>
      </c>
      <c r="E23" s="20">
        <f t="shared" ref="E23:E24" si="12">I23</f>
        <v>40.808666666666667</v>
      </c>
      <c r="F23" s="20">
        <f t="shared" si="7"/>
        <v>350.66666666666669</v>
      </c>
      <c r="G23" s="7"/>
      <c r="H23" s="84">
        <f t="shared" si="8"/>
        <v>391.47533333333337</v>
      </c>
      <c r="I23" s="84">
        <f t="shared" si="9"/>
        <v>40.808666666666667</v>
      </c>
      <c r="J23" s="86">
        <f t="shared" si="10"/>
        <v>350.66666666666669</v>
      </c>
      <c r="K23" s="142"/>
      <c r="L23" s="98" t="s">
        <v>219</v>
      </c>
      <c r="M23" s="134" t="s">
        <v>90</v>
      </c>
      <c r="N23" s="134">
        <v>5872.13</v>
      </c>
      <c r="O23" s="137">
        <v>0</v>
      </c>
      <c r="P23" s="6">
        <v>612.13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20"/>
      <c r="AC23" s="6"/>
      <c r="AD23" s="6"/>
      <c r="AE23" s="20"/>
    </row>
    <row r="24" spans="1:33" s="3" customFormat="1" ht="27" customHeight="1">
      <c r="A24" s="31">
        <v>17</v>
      </c>
      <c r="B24" s="10"/>
      <c r="C24" s="8" t="str">
        <f t="shared" si="6"/>
        <v>POLICIA DE LINEA</v>
      </c>
      <c r="D24" s="20">
        <f t="shared" si="11"/>
        <v>391.47533333333337</v>
      </c>
      <c r="E24" s="20">
        <f t="shared" si="12"/>
        <v>40.808666666666667</v>
      </c>
      <c r="F24" s="20">
        <f t="shared" si="7"/>
        <v>350.66666666666669</v>
      </c>
      <c r="G24" s="7"/>
      <c r="H24" s="84">
        <f t="shared" si="8"/>
        <v>391.47533333333337</v>
      </c>
      <c r="I24" s="84">
        <f t="shared" si="9"/>
        <v>40.808666666666667</v>
      </c>
      <c r="J24" s="86">
        <f t="shared" si="10"/>
        <v>350.66666666666669</v>
      </c>
      <c r="K24" s="142"/>
      <c r="L24" s="98" t="s">
        <v>164</v>
      </c>
      <c r="M24" s="134" t="s">
        <v>90</v>
      </c>
      <c r="N24" s="134">
        <v>5872.13</v>
      </c>
      <c r="O24" s="137">
        <v>0</v>
      </c>
      <c r="P24" s="6">
        <v>612.13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20"/>
      <c r="AC24" s="6"/>
      <c r="AD24" s="6"/>
      <c r="AE24" s="20"/>
    </row>
    <row r="25" spans="1:33" s="3" customFormat="1" ht="27" customHeight="1">
      <c r="A25" s="31"/>
      <c r="B25" s="10"/>
      <c r="C25" s="8"/>
      <c r="D25" s="20"/>
      <c r="E25" s="20"/>
      <c r="F25" s="20"/>
      <c r="G25" s="7"/>
      <c r="H25" s="84"/>
      <c r="I25" s="84"/>
      <c r="J25" s="86"/>
      <c r="K25" s="142"/>
      <c r="L25" s="98"/>
      <c r="M25" s="134"/>
      <c r="N25" s="134"/>
      <c r="O25" s="137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20"/>
      <c r="AC25" s="6"/>
      <c r="AD25" s="6"/>
      <c r="AE25" s="20"/>
    </row>
    <row r="26" spans="1:33" s="3" customFormat="1" ht="27" customHeight="1">
      <c r="A26" s="31"/>
      <c r="B26" s="10"/>
      <c r="C26" s="8"/>
      <c r="D26" s="20"/>
      <c r="E26" s="20"/>
      <c r="F26" s="20"/>
      <c r="G26" s="7"/>
      <c r="H26" s="84"/>
      <c r="I26" s="84"/>
      <c r="J26" s="86"/>
      <c r="K26" s="142"/>
      <c r="L26" s="98"/>
      <c r="M26" s="134"/>
      <c r="N26" s="134"/>
      <c r="O26" s="137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20"/>
      <c r="AC26" s="6"/>
      <c r="AD26" s="6"/>
      <c r="AE26" s="20"/>
    </row>
    <row r="27" spans="1:33" s="3" customFormat="1" ht="27" customHeight="1">
      <c r="A27" s="31"/>
      <c r="B27" s="10"/>
      <c r="C27" s="67" t="s">
        <v>165</v>
      </c>
      <c r="D27" s="63">
        <f>SUM(D22:D26)</f>
        <v>1174.4260000000002</v>
      </c>
      <c r="E27" s="63">
        <f>SUM(E22:E26)</f>
        <v>122.426</v>
      </c>
      <c r="F27" s="63">
        <f>SUM(F22:F26)</f>
        <v>1052</v>
      </c>
      <c r="G27" s="7"/>
      <c r="H27" s="84"/>
      <c r="I27" s="84"/>
      <c r="J27" s="157"/>
      <c r="K27" s="134"/>
      <c r="L27" s="134"/>
      <c r="M27" s="134"/>
      <c r="N27" s="97"/>
      <c r="O27" s="137"/>
      <c r="P27" s="2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20"/>
      <c r="AD27" s="6"/>
      <c r="AE27" s="6"/>
      <c r="AF27" s="20"/>
    </row>
    <row r="28" spans="1:33" s="3" customFormat="1" ht="27" customHeight="1">
      <c r="A28" s="31"/>
      <c r="B28" s="10"/>
      <c r="C28" s="6"/>
      <c r="D28" s="20"/>
      <c r="E28" s="20"/>
      <c r="F28" s="20"/>
      <c r="G28" s="7"/>
      <c r="H28" s="84"/>
      <c r="I28" s="84"/>
      <c r="J28" s="157"/>
      <c r="K28" s="134"/>
      <c r="L28" s="134"/>
      <c r="M28" s="134"/>
      <c r="N28" s="97"/>
      <c r="O28" s="137"/>
      <c r="P28" s="2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20"/>
      <c r="AD28" s="6"/>
      <c r="AE28" s="6"/>
      <c r="AF28" s="20"/>
    </row>
    <row r="29" spans="1:33" s="3" customFormat="1" ht="27" customHeight="1">
      <c r="A29" s="31"/>
      <c r="B29" s="10" t="s">
        <v>303</v>
      </c>
      <c r="C29" s="6"/>
      <c r="D29" s="20"/>
      <c r="E29" s="20"/>
      <c r="F29" s="20"/>
      <c r="G29" s="7"/>
      <c r="H29" s="84"/>
      <c r="I29" s="84"/>
      <c r="J29" s="157"/>
      <c r="K29" s="134"/>
      <c r="L29" s="134"/>
      <c r="M29" s="134"/>
      <c r="N29" s="134"/>
      <c r="O29" s="137"/>
      <c r="P29" s="38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20"/>
      <c r="AE29" s="6"/>
      <c r="AF29" s="6"/>
      <c r="AG29" s="20"/>
    </row>
    <row r="30" spans="1:33" s="3" customFormat="1" ht="27" customHeight="1">
      <c r="A30" s="31"/>
      <c r="B30" s="10" t="str">
        <f>+B11</f>
        <v>IXTLAHUACAN DEL RIO JALISCO A 15 DE NOVIEMBRE DE 2019</v>
      </c>
      <c r="C30" s="6"/>
      <c r="D30" s="20"/>
      <c r="E30" s="20"/>
      <c r="F30" s="20"/>
      <c r="G30" s="7"/>
      <c r="H30" s="84"/>
      <c r="I30" s="84"/>
      <c r="J30" s="157"/>
      <c r="K30" s="134"/>
      <c r="L30" s="134"/>
      <c r="M30" s="134"/>
      <c r="N30" s="134"/>
      <c r="O30" s="137"/>
      <c r="P30" s="38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20"/>
      <c r="AE30" s="6"/>
      <c r="AF30" s="6"/>
      <c r="AG30" s="20"/>
    </row>
    <row r="31" spans="1:33" s="3" customFormat="1" ht="27" customHeight="1">
      <c r="A31" s="31"/>
      <c r="B31" s="10"/>
      <c r="C31" s="6"/>
      <c r="D31" s="20"/>
      <c r="E31" s="20"/>
      <c r="F31" s="20"/>
      <c r="G31" s="7"/>
      <c r="H31" s="84"/>
      <c r="I31" s="84"/>
      <c r="J31" s="157"/>
      <c r="K31" s="134"/>
      <c r="L31" s="134"/>
      <c r="M31" s="134"/>
      <c r="N31" s="134"/>
      <c r="O31" s="137"/>
      <c r="P31" s="74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20"/>
      <c r="AE31" s="6"/>
      <c r="AF31" s="6"/>
      <c r="AG31" s="20"/>
    </row>
    <row r="32" spans="1:33" s="3" customFormat="1" ht="27" customHeight="1">
      <c r="A32" s="31"/>
      <c r="B32" s="10"/>
      <c r="C32" s="6"/>
      <c r="D32" s="20"/>
      <c r="E32" s="20"/>
      <c r="F32" s="20"/>
      <c r="G32" s="7"/>
      <c r="H32" s="84"/>
      <c r="I32" s="84"/>
      <c r="J32" s="157"/>
      <c r="K32" s="134"/>
      <c r="L32" s="134"/>
      <c r="M32" s="134"/>
      <c r="N32" s="134"/>
      <c r="O32" s="137"/>
      <c r="P32" s="38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20"/>
      <c r="AE32" s="6"/>
      <c r="AF32" s="6"/>
      <c r="AG32" s="20"/>
    </row>
    <row r="33" spans="1:34" s="3" customFormat="1" ht="27" customHeight="1">
      <c r="A33" s="31"/>
      <c r="B33" s="10"/>
      <c r="C33" s="6"/>
      <c r="D33" s="20"/>
      <c r="E33" s="20"/>
      <c r="F33" s="20"/>
      <c r="G33" s="7"/>
      <c r="H33" s="84"/>
      <c r="I33" s="84"/>
      <c r="J33" s="157"/>
      <c r="K33" s="134"/>
      <c r="L33" s="134"/>
      <c r="M33" s="134"/>
      <c r="N33" s="134"/>
      <c r="O33" s="38"/>
      <c r="P33" s="43"/>
      <c r="Q33" s="2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20"/>
      <c r="AF33" s="6"/>
      <c r="AG33" s="6"/>
      <c r="AH33" s="20"/>
    </row>
    <row r="34" spans="1:34" s="3" customFormat="1" ht="27" customHeight="1">
      <c r="A34" s="9"/>
      <c r="B34" s="10"/>
      <c r="C34" s="26"/>
      <c r="D34" s="4"/>
      <c r="E34" s="4"/>
      <c r="F34" s="4"/>
      <c r="G34" s="7"/>
      <c r="H34" s="84"/>
      <c r="I34" s="91"/>
      <c r="J34" s="157"/>
      <c r="K34" s="87"/>
      <c r="L34" s="110"/>
      <c r="M34" s="118"/>
      <c r="N34" s="118"/>
      <c r="O34" s="132"/>
      <c r="P34" s="4"/>
      <c r="Q34" s="2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20"/>
      <c r="AF34" s="6"/>
      <c r="AG34" s="6"/>
      <c r="AH34" s="20"/>
    </row>
    <row r="35" spans="1:34" s="3" customFormat="1" ht="27" customHeight="1">
      <c r="A35" s="9"/>
      <c r="B35" s="10"/>
      <c r="C35" s="26"/>
      <c r="D35" s="32"/>
      <c r="E35" s="32"/>
      <c r="F35" s="32"/>
      <c r="G35" s="7"/>
      <c r="H35" s="84"/>
      <c r="I35" s="91"/>
      <c r="J35" s="157"/>
      <c r="K35" s="87"/>
      <c r="L35" s="110"/>
      <c r="M35" s="118"/>
      <c r="N35" s="118"/>
      <c r="O35" s="132"/>
      <c r="P35" s="4"/>
      <c r="Q35" s="2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20"/>
      <c r="AF35" s="6"/>
      <c r="AG35" s="6"/>
      <c r="AH35" s="20"/>
    </row>
    <row r="36" spans="1:34" s="3" customFormat="1" ht="27" customHeight="1">
      <c r="A36" s="9"/>
      <c r="C36" s="30"/>
      <c r="D36" s="4"/>
      <c r="E36" s="4"/>
      <c r="F36" s="4"/>
      <c r="G36" s="7" t="s">
        <v>18</v>
      </c>
      <c r="H36" s="84"/>
      <c r="I36" s="91"/>
      <c r="J36" s="157">
        <f>SUM(H36-I36)</f>
        <v>0</v>
      </c>
      <c r="K36" s="87"/>
      <c r="L36" s="110"/>
      <c r="M36" s="118"/>
      <c r="N36" s="120"/>
      <c r="O36" s="132"/>
      <c r="Q36" s="2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20"/>
      <c r="AF36" s="6"/>
      <c r="AG36" s="6"/>
      <c r="AH36" s="20"/>
    </row>
    <row r="37" spans="1:34" s="3" customFormat="1" ht="27" customHeight="1">
      <c r="A37" s="9"/>
      <c r="C37" s="26"/>
      <c r="D37" s="4"/>
      <c r="E37" s="4"/>
      <c r="F37" s="4"/>
      <c r="G37" s="7" t="s">
        <v>18</v>
      </c>
      <c r="H37" s="84"/>
      <c r="I37" s="91"/>
      <c r="J37" s="157">
        <f>SUM(H37-I37)</f>
        <v>0</v>
      </c>
      <c r="K37" s="87"/>
      <c r="L37" s="109"/>
      <c r="M37" s="95"/>
      <c r="N37" s="117"/>
      <c r="O37" s="132"/>
      <c r="Q37" s="2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20"/>
      <c r="AF37" s="6"/>
      <c r="AG37" s="6"/>
      <c r="AH37" s="20"/>
    </row>
    <row r="38" spans="1:34" s="3" customFormat="1" ht="27" customHeight="1">
      <c r="A38" s="9"/>
      <c r="B38" s="10"/>
      <c r="C38" s="26"/>
      <c r="D38" s="28"/>
      <c r="E38" s="28"/>
      <c r="F38" s="21"/>
      <c r="G38" s="7" t="s">
        <v>18</v>
      </c>
      <c r="H38" s="91"/>
      <c r="I38" s="91"/>
      <c r="J38" s="157"/>
      <c r="K38" s="98"/>
      <c r="L38" s="98"/>
      <c r="M38" s="95"/>
      <c r="N38" s="117"/>
      <c r="O38" s="132"/>
      <c r="Q38" s="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20"/>
      <c r="AF38" s="6"/>
      <c r="AG38" s="6"/>
      <c r="AH38" s="20"/>
    </row>
    <row r="46" spans="1:34" ht="27" customHeight="1">
      <c r="D46" s="20"/>
      <c r="E46" s="20"/>
      <c r="F46" s="20"/>
    </row>
    <row r="47" spans="1:34" ht="27" customHeight="1">
      <c r="D47" s="20"/>
      <c r="E47" s="20"/>
      <c r="F47" s="20"/>
    </row>
    <row r="48" spans="1:34" ht="27" customHeight="1">
      <c r="D48" s="20"/>
      <c r="E48" s="20"/>
      <c r="F48" s="20"/>
    </row>
    <row r="49" spans="3:6" ht="27" customHeight="1">
      <c r="D49" s="20"/>
      <c r="E49" s="20"/>
      <c r="F49" s="20"/>
    </row>
    <row r="50" spans="3:6" ht="27" customHeight="1">
      <c r="C50" s="62"/>
      <c r="D50" s="63"/>
      <c r="E50" s="63"/>
      <c r="F50" s="63"/>
    </row>
  </sheetData>
  <mergeCells count="8">
    <mergeCell ref="A19:G19"/>
    <mergeCell ref="A20:G20"/>
    <mergeCell ref="A1:G1"/>
    <mergeCell ref="A2:G2"/>
    <mergeCell ref="A3:G3"/>
    <mergeCell ref="A4:G4"/>
    <mergeCell ref="A17:G17"/>
    <mergeCell ref="A18:G18"/>
  </mergeCells>
  <pageMargins left="0.23622047244094491" right="0.23622047244094491" top="0.74803149606299213" bottom="0.74803149606299213" header="0.31496062992125984" footer="0.31496062992125984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8"/>
  <sheetViews>
    <sheetView zoomScale="80" zoomScaleNormal="80" workbookViewId="0">
      <selection sqref="A1:G1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32.42578125" style="30" bestFit="1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37" style="6" customWidth="1"/>
    <col min="8" max="8" width="11.42578125" style="84"/>
    <col min="9" max="9" width="9.5703125" style="91" customWidth="1"/>
    <col min="10" max="10" width="17.5703125" style="157" customWidth="1"/>
    <col min="11" max="11" width="16.7109375" style="87" customWidth="1"/>
    <col min="12" max="12" width="23.42578125" style="109" customWidth="1"/>
    <col min="13" max="13" width="9.7109375" style="95" customWidth="1"/>
    <col min="14" max="14" width="10" style="117" bestFit="1" customWidth="1"/>
    <col min="15" max="15" width="7.85546875" style="131" bestFit="1" customWidth="1"/>
    <col min="16" max="16" width="7.7109375" style="131" bestFit="1" customWidth="1"/>
    <col min="17" max="17" width="11.7109375" style="2" customWidth="1"/>
    <col min="18" max="18" width="6.85546875" style="6" customWidth="1"/>
    <col min="19" max="19" width="13.85546875" style="6" customWidth="1"/>
    <col min="20" max="20" width="11.7109375" style="6" customWidth="1"/>
    <col min="21" max="21" width="43.42578125" style="6" customWidth="1"/>
    <col min="22" max="30" width="11.7109375" style="6" customWidth="1"/>
    <col min="31" max="31" width="11.7109375" style="20" customWidth="1"/>
    <col min="32" max="33" width="11.7109375" style="6" customWidth="1"/>
    <col min="34" max="34" width="11.7109375" style="20" customWidth="1"/>
    <col min="35" max="35" width="11.7109375" style="6" customWidth="1"/>
    <col min="36" max="36" width="2.28515625" style="6" customWidth="1"/>
    <col min="37" max="37" width="15.5703125" style="6" customWidth="1"/>
    <col min="38" max="38" width="11.42578125" style="6" customWidth="1"/>
    <col min="39" max="39" width="11.42578125" style="6"/>
    <col min="40" max="40" width="11.42578125" style="6" customWidth="1"/>
    <col min="41" max="41" width="42.28515625" style="6" customWidth="1"/>
    <col min="42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153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294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s="3" customFormat="1" ht="27" customHeight="1">
      <c r="A7" s="31">
        <v>1</v>
      </c>
      <c r="B7" s="8" t="str">
        <f t="shared" ref="B7:C10" si="0">+L7</f>
        <v xml:space="preserve">ALVAREZ DEL CASTILLO SANCHEZ JORGE ENRIQUE </v>
      </c>
      <c r="C7" s="6" t="str">
        <f t="shared" si="0"/>
        <v>CHOFER DE CAMION ESCOLAR</v>
      </c>
      <c r="D7" s="20">
        <f>H7*3.68</f>
        <v>1090.6784</v>
      </c>
      <c r="E7" s="20">
        <f>I7*3.68+0.53</f>
        <v>90.677733333333336</v>
      </c>
      <c r="F7" s="20">
        <f t="shared" ref="F7:F11" si="1">D7-E7</f>
        <v>1000.0006666666667</v>
      </c>
      <c r="G7" s="24"/>
      <c r="H7" s="84">
        <f t="shared" ref="H7:H11" si="2">+N7/15</f>
        <v>296.38</v>
      </c>
      <c r="I7" s="84">
        <f t="shared" ref="I7:I11" si="3">+P7/15</f>
        <v>24.496666666666666</v>
      </c>
      <c r="J7" s="157">
        <f t="shared" ref="J7:J11" si="4">+H7-I7</f>
        <v>271.88333333333333</v>
      </c>
      <c r="K7" s="142"/>
      <c r="L7" s="98" t="s">
        <v>127</v>
      </c>
      <c r="M7" s="143" t="s">
        <v>128</v>
      </c>
      <c r="N7" s="144">
        <v>4445.7</v>
      </c>
      <c r="O7" s="97">
        <v>0</v>
      </c>
      <c r="P7" s="97">
        <v>367.45</v>
      </c>
      <c r="Q7" s="2"/>
      <c r="R7" s="2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20"/>
      <c r="AG7" s="6"/>
      <c r="AH7" s="6"/>
      <c r="AI7" s="20"/>
    </row>
    <row r="8" spans="1:35" s="3" customFormat="1" ht="27" customHeight="1">
      <c r="A8" s="31">
        <v>2</v>
      </c>
      <c r="B8" s="8" t="str">
        <f t="shared" si="0"/>
        <v xml:space="preserve">CORONA OLVERA SALVADOR </v>
      </c>
      <c r="C8" s="6" t="str">
        <f t="shared" si="0"/>
        <v>CHOFER DE CAMION ESCOLAR</v>
      </c>
      <c r="D8" s="20">
        <f>H8*6.201</f>
        <v>2214.9971999999998</v>
      </c>
      <c r="E8" s="20">
        <f>I8*6.201+0.03</f>
        <v>214.99386600000003</v>
      </c>
      <c r="F8" s="20">
        <f t="shared" si="1"/>
        <v>2000.0033339999998</v>
      </c>
      <c r="G8" s="24"/>
      <c r="H8" s="84">
        <f t="shared" si="2"/>
        <v>357.2</v>
      </c>
      <c r="I8" s="84">
        <f t="shared" si="3"/>
        <v>34.666000000000004</v>
      </c>
      <c r="J8" s="157">
        <f t="shared" si="4"/>
        <v>322.53399999999999</v>
      </c>
      <c r="K8" s="142"/>
      <c r="L8" s="98" t="s">
        <v>134</v>
      </c>
      <c r="M8" s="143" t="s">
        <v>128</v>
      </c>
      <c r="N8" s="144">
        <v>5358</v>
      </c>
      <c r="O8" s="97">
        <v>0</v>
      </c>
      <c r="P8" s="97">
        <v>519.99</v>
      </c>
      <c r="Q8" s="2"/>
      <c r="R8" s="2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6"/>
      <c r="AH8" s="6"/>
      <c r="AI8" s="20"/>
    </row>
    <row r="9" spans="1:35" s="3" customFormat="1" ht="27" customHeight="1">
      <c r="A9" s="31">
        <v>3</v>
      </c>
      <c r="B9" s="8" t="str">
        <f t="shared" si="0"/>
        <v xml:space="preserve">MARTINEZ GONZALEZ HECTOR MIGUEL </v>
      </c>
      <c r="C9" s="6" t="str">
        <f t="shared" si="0"/>
        <v>CHOFER DE CAMION ESCOLAR</v>
      </c>
      <c r="D9" s="20">
        <f>H9*3.024</f>
        <v>1110.2051520000002</v>
      </c>
      <c r="E9" s="20">
        <f>I9*3.024-0.01</f>
        <v>110.20270400000001</v>
      </c>
      <c r="F9" s="20">
        <f t="shared" si="1"/>
        <v>1000.0024480000002</v>
      </c>
      <c r="G9" s="24"/>
      <c r="H9" s="84">
        <f t="shared" si="2"/>
        <v>367.13133333333337</v>
      </c>
      <c r="I9" s="84">
        <f t="shared" si="3"/>
        <v>36.446000000000005</v>
      </c>
      <c r="J9" s="157">
        <f t="shared" si="4"/>
        <v>330.68533333333335</v>
      </c>
      <c r="K9" s="142"/>
      <c r="L9" s="98" t="s">
        <v>141</v>
      </c>
      <c r="M9" s="143" t="s">
        <v>128</v>
      </c>
      <c r="N9" s="144">
        <v>5506.97</v>
      </c>
      <c r="O9" s="97">
        <v>0</v>
      </c>
      <c r="P9" s="97">
        <v>546.69000000000005</v>
      </c>
      <c r="Q9" s="2"/>
      <c r="R9" s="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0"/>
      <c r="AG9" s="6"/>
      <c r="AH9" s="6"/>
      <c r="AI9" s="20"/>
    </row>
    <row r="10" spans="1:35" s="3" customFormat="1" ht="27" customHeight="1">
      <c r="A10" s="31">
        <v>4</v>
      </c>
      <c r="B10" s="8" t="str">
        <f t="shared" si="0"/>
        <v xml:space="preserve">JIMENEZ DE LA CRUZ ROGELIO </v>
      </c>
      <c r="C10" s="6" t="str">
        <f t="shared" si="0"/>
        <v>CUADRILLA AGUA POTABLE Y ALCAN</v>
      </c>
      <c r="D10" s="20">
        <f>H10*3</f>
        <v>1421.07</v>
      </c>
      <c r="E10" s="20">
        <f>I10*3</f>
        <v>174.19400000000002</v>
      </c>
      <c r="F10" s="20">
        <f t="shared" si="1"/>
        <v>1246.876</v>
      </c>
      <c r="G10" s="24"/>
      <c r="H10" s="84">
        <f>+N10/15</f>
        <v>473.69</v>
      </c>
      <c r="I10" s="84">
        <f>+P10/15</f>
        <v>58.064666666666668</v>
      </c>
      <c r="J10" s="157">
        <f t="shared" si="4"/>
        <v>415.62533333333334</v>
      </c>
      <c r="K10" s="149"/>
      <c r="L10" s="134" t="s">
        <v>140</v>
      </c>
      <c r="M10" s="148" t="s">
        <v>57</v>
      </c>
      <c r="N10" s="134">
        <v>7105.35</v>
      </c>
      <c r="O10" s="134">
        <v>0</v>
      </c>
      <c r="P10" s="134">
        <v>870.97</v>
      </c>
      <c r="Q10" s="2"/>
      <c r="R10" s="2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0"/>
      <c r="AG10" s="6"/>
      <c r="AH10" s="6"/>
      <c r="AI10" s="20"/>
    </row>
    <row r="11" spans="1:35" s="3" customFormat="1" ht="27" customHeight="1">
      <c r="A11" s="31">
        <v>5</v>
      </c>
      <c r="B11" s="8" t="str">
        <f t="shared" ref="B11:C11" si="5">+L11</f>
        <v xml:space="preserve">YAÑEZ JIMENEZ JOSE MANUEL </v>
      </c>
      <c r="C11" s="6" t="str">
        <f t="shared" si="5"/>
        <v>CUADRILLA AGUA POTABLE Y ALCAN</v>
      </c>
      <c r="D11" s="20">
        <f>H11*10.944</f>
        <v>3272.6937600000006</v>
      </c>
      <c r="E11" s="20">
        <f>I11*10.9416</f>
        <v>272.69384959999996</v>
      </c>
      <c r="F11" s="20">
        <f t="shared" si="1"/>
        <v>2999.9999104000008</v>
      </c>
      <c r="G11" s="7"/>
      <c r="H11" s="84">
        <f t="shared" si="2"/>
        <v>299.04000000000002</v>
      </c>
      <c r="I11" s="84">
        <f t="shared" si="3"/>
        <v>24.922666666666665</v>
      </c>
      <c r="J11" s="157">
        <f t="shared" si="4"/>
        <v>274.11733333333336</v>
      </c>
      <c r="K11" s="142"/>
      <c r="L11" s="146" t="s">
        <v>268</v>
      </c>
      <c r="M11" s="148" t="s">
        <v>57</v>
      </c>
      <c r="N11" s="134">
        <v>4485.6000000000004</v>
      </c>
      <c r="O11" s="134">
        <v>0</v>
      </c>
      <c r="P11" s="97">
        <v>373.84</v>
      </c>
      <c r="Q11" s="2"/>
      <c r="R11" s="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0"/>
      <c r="AG11" s="6"/>
      <c r="AH11" s="6"/>
      <c r="AI11" s="20"/>
    </row>
    <row r="12" spans="1:35" s="3" customFormat="1" ht="27" customHeight="1">
      <c r="A12" s="31">
        <v>6</v>
      </c>
      <c r="B12" s="8" t="str">
        <f t="shared" ref="B12" si="6">+L12</f>
        <v xml:space="preserve">ABUNDIS MUNOZ ALFREDO </v>
      </c>
      <c r="C12" s="6" t="str">
        <f t="shared" ref="C12" si="7">+M12</f>
        <v>CUADRILLA AGUA POTABLE Y ALCAN</v>
      </c>
      <c r="D12" s="20">
        <f>H12*3</f>
        <v>1412.328</v>
      </c>
      <c r="E12" s="20">
        <f>I12*3</f>
        <v>172.328</v>
      </c>
      <c r="F12" s="20">
        <f t="shared" ref="F12" si="8">D12-E12</f>
        <v>1240</v>
      </c>
      <c r="G12" s="7"/>
      <c r="H12" s="84">
        <f>+N12/15</f>
        <v>470.77600000000001</v>
      </c>
      <c r="I12" s="84">
        <f>+P12/15</f>
        <v>57.442666666666668</v>
      </c>
      <c r="J12" s="157">
        <f t="shared" ref="J12" si="9">+H12-I12</f>
        <v>413.33333333333337</v>
      </c>
      <c r="K12" s="142"/>
      <c r="L12" s="146" t="s">
        <v>295</v>
      </c>
      <c r="M12" s="148" t="s">
        <v>57</v>
      </c>
      <c r="N12" s="141">
        <v>7061.64</v>
      </c>
      <c r="O12" s="141">
        <v>0</v>
      </c>
      <c r="P12" s="141">
        <v>861.64</v>
      </c>
      <c r="Q12" s="2"/>
      <c r="R12" s="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0"/>
      <c r="AG12" s="6"/>
      <c r="AH12" s="6"/>
      <c r="AI12" s="20"/>
    </row>
    <row r="13" spans="1:35" s="3" customFormat="1" ht="27" customHeight="1">
      <c r="A13" s="31"/>
      <c r="B13" s="10"/>
      <c r="C13" s="67" t="s">
        <v>165</v>
      </c>
      <c r="D13" s="63">
        <f>SUM(D7:D12)</f>
        <v>10521.972512</v>
      </c>
      <c r="E13" s="63">
        <f>SUM(E7:E12)</f>
        <v>1035.0901529333335</v>
      </c>
      <c r="F13" s="63">
        <f>SUM(F7:F12)</f>
        <v>9486.882359066667</v>
      </c>
      <c r="G13" s="7"/>
      <c r="H13" s="84"/>
      <c r="I13" s="84"/>
      <c r="J13" s="157"/>
      <c r="K13" s="134"/>
      <c r="L13" s="134"/>
      <c r="M13" s="134"/>
      <c r="N13" s="97"/>
      <c r="O13" s="95"/>
      <c r="P13" s="95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20"/>
      <c r="AD13" s="6"/>
      <c r="AE13" s="6"/>
      <c r="AF13" s="20"/>
    </row>
    <row r="14" spans="1:35" s="3" customFormat="1" ht="27" customHeight="1">
      <c r="A14" s="31"/>
      <c r="B14" s="10" t="s">
        <v>296</v>
      </c>
      <c r="C14" s="6"/>
      <c r="D14" s="20"/>
      <c r="E14" s="20"/>
      <c r="F14" s="20"/>
      <c r="G14" s="7"/>
      <c r="H14" s="84"/>
      <c r="I14" s="84"/>
      <c r="J14" s="157"/>
      <c r="K14" s="134"/>
      <c r="L14" s="134"/>
      <c r="M14" s="134"/>
      <c r="N14" s="134"/>
      <c r="O14" s="95"/>
      <c r="P14" s="95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20"/>
      <c r="AD14" s="6"/>
      <c r="AE14" s="6"/>
      <c r="AF14" s="20"/>
    </row>
    <row r="15" spans="1:35" s="3" customFormat="1" ht="27" customHeight="1">
      <c r="A15" s="31"/>
      <c r="B15" s="10" t="s">
        <v>297</v>
      </c>
      <c r="C15" s="6"/>
      <c r="D15" s="20"/>
      <c r="E15" s="20"/>
      <c r="F15" s="20"/>
      <c r="G15" s="7"/>
      <c r="H15" s="84"/>
      <c r="I15" s="84"/>
      <c r="J15" s="157"/>
      <c r="K15" s="134"/>
      <c r="L15" s="134"/>
      <c r="M15" s="134"/>
      <c r="N15" s="134"/>
      <c r="O15" s="95"/>
      <c r="P15" s="95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20"/>
      <c r="AD15" s="6"/>
      <c r="AE15" s="6"/>
      <c r="AF15" s="20"/>
    </row>
    <row r="16" spans="1:35" s="3" customFormat="1" ht="27" customHeight="1">
      <c r="A16" s="31"/>
      <c r="B16" s="10"/>
      <c r="C16" s="6"/>
      <c r="D16" s="20"/>
      <c r="E16" s="20"/>
      <c r="F16" s="20"/>
      <c r="G16" s="7"/>
      <c r="H16" s="84"/>
      <c r="I16" s="84"/>
      <c r="J16" s="157"/>
      <c r="K16" s="134"/>
      <c r="L16" s="134"/>
      <c r="M16" s="134"/>
      <c r="N16" s="134"/>
      <c r="O16" s="95"/>
      <c r="P16" s="95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20"/>
      <c r="AD16" s="6"/>
      <c r="AE16" s="6"/>
      <c r="AF16" s="20"/>
    </row>
    <row r="17" spans="1:32" s="3" customFormat="1" ht="27" customHeight="1">
      <c r="A17" s="31"/>
      <c r="B17" s="10"/>
      <c r="C17" s="6"/>
      <c r="D17" s="20"/>
      <c r="E17" s="20"/>
      <c r="F17" s="20"/>
      <c r="G17" s="7"/>
      <c r="H17" s="84"/>
      <c r="I17" s="84"/>
      <c r="J17" s="157"/>
      <c r="K17" s="134"/>
      <c r="L17" s="134"/>
      <c r="M17" s="134"/>
      <c r="N17" s="134"/>
      <c r="O17" s="95"/>
      <c r="P17" s="95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20"/>
      <c r="AD17" s="6"/>
      <c r="AE17" s="6"/>
      <c r="AF17" s="20"/>
    </row>
    <row r="18" spans="1:32" s="3" customFormat="1" ht="27" customHeight="1">
      <c r="A18" s="31"/>
      <c r="B18" s="10"/>
      <c r="C18" s="6"/>
      <c r="D18" s="20"/>
      <c r="E18" s="20"/>
      <c r="F18" s="20"/>
      <c r="G18" s="7"/>
      <c r="H18" s="84"/>
      <c r="I18" s="84"/>
      <c r="J18" s="157"/>
      <c r="K18" s="134"/>
      <c r="L18" s="134"/>
      <c r="M18" s="134"/>
      <c r="N18" s="134"/>
      <c r="O18" s="95"/>
      <c r="P18" s="95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20"/>
      <c r="AD18" s="6"/>
      <c r="AE18" s="6"/>
      <c r="AF18" s="20"/>
    </row>
    <row r="19" spans="1:32" s="3" customFormat="1" ht="27" customHeight="1">
      <c r="A19" s="31"/>
      <c r="B19" s="10"/>
      <c r="C19" s="6"/>
      <c r="D19" s="20"/>
      <c r="E19" s="20"/>
      <c r="F19" s="20"/>
      <c r="G19" s="7"/>
      <c r="H19" s="84"/>
      <c r="I19" s="84"/>
      <c r="J19" s="157"/>
      <c r="K19" s="134"/>
      <c r="L19" s="134"/>
      <c r="M19" s="134"/>
      <c r="N19" s="134"/>
      <c r="O19" s="95"/>
      <c r="P19" s="95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20"/>
      <c r="AD19" s="6"/>
      <c r="AE19" s="6"/>
      <c r="AF19" s="20"/>
    </row>
    <row r="20" spans="1:32" s="3" customFormat="1" ht="27" customHeight="1">
      <c r="A20" s="31"/>
      <c r="B20" s="10"/>
      <c r="C20" s="6"/>
      <c r="D20" s="20"/>
      <c r="E20" s="20"/>
      <c r="F20" s="20"/>
      <c r="G20" s="7"/>
      <c r="H20" s="84"/>
      <c r="I20" s="84"/>
      <c r="J20" s="157"/>
      <c r="K20" s="134"/>
      <c r="L20" s="134"/>
      <c r="M20" s="134"/>
      <c r="N20" s="134"/>
      <c r="O20" s="95"/>
      <c r="P20" s="95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20"/>
      <c r="AD20" s="6"/>
      <c r="AE20" s="6"/>
      <c r="AF20" s="20"/>
    </row>
    <row r="21" spans="1:32" s="3" customFormat="1" ht="27" customHeight="1">
      <c r="A21" s="241" t="s">
        <v>24</v>
      </c>
      <c r="B21" s="242"/>
      <c r="C21" s="242"/>
      <c r="D21" s="242"/>
      <c r="E21" s="242"/>
      <c r="F21" s="242"/>
      <c r="G21" s="243"/>
      <c r="H21" s="84"/>
      <c r="I21" s="84"/>
      <c r="J21" s="157"/>
      <c r="K21" s="134"/>
      <c r="L21" s="134"/>
      <c r="M21" s="134"/>
      <c r="N21" s="134"/>
      <c r="O21" s="95"/>
      <c r="P21" s="95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20"/>
      <c r="AD21" s="6"/>
      <c r="AE21" s="6"/>
      <c r="AF21" s="20"/>
    </row>
    <row r="22" spans="1:32" s="3" customFormat="1" ht="27" customHeight="1">
      <c r="A22" s="241" t="s">
        <v>244</v>
      </c>
      <c r="B22" s="242"/>
      <c r="C22" s="242"/>
      <c r="D22" s="242"/>
      <c r="E22" s="242"/>
      <c r="F22" s="242"/>
      <c r="G22" s="243"/>
      <c r="H22" s="84"/>
      <c r="I22" s="84"/>
      <c r="J22" s="157"/>
      <c r="K22" s="134"/>
      <c r="L22" s="134"/>
      <c r="M22" s="134"/>
      <c r="N22" s="134"/>
      <c r="O22" s="95"/>
      <c r="P22" s="95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20"/>
      <c r="AD22" s="6"/>
      <c r="AE22" s="6"/>
      <c r="AF22" s="20"/>
    </row>
    <row r="23" spans="1:32" s="3" customFormat="1" ht="27" customHeight="1">
      <c r="A23" s="241" t="str">
        <f>+A3</f>
        <v xml:space="preserve">AYUNTAMIENTO Y QUE  CORRESPONDEN A LA 2DA QUINCENA DE OCTUBRE DE 2019 </v>
      </c>
      <c r="B23" s="242"/>
      <c r="C23" s="242"/>
      <c r="D23" s="242"/>
      <c r="E23" s="242"/>
      <c r="F23" s="242"/>
      <c r="G23" s="243"/>
      <c r="H23" s="84"/>
      <c r="I23" s="84"/>
      <c r="J23" s="157"/>
      <c r="K23" s="134"/>
      <c r="L23" s="134"/>
      <c r="M23" s="134"/>
      <c r="N23" s="134"/>
      <c r="O23" s="95"/>
      <c r="P23" s="95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20"/>
      <c r="AD23" s="6"/>
      <c r="AE23" s="6"/>
      <c r="AF23" s="20"/>
    </row>
    <row r="24" spans="1:32" s="3" customFormat="1" ht="27" customHeight="1">
      <c r="A24" s="241" t="s">
        <v>27</v>
      </c>
      <c r="B24" s="242"/>
      <c r="C24" s="242"/>
      <c r="D24" s="242"/>
      <c r="E24" s="242"/>
      <c r="F24" s="242"/>
      <c r="G24" s="243"/>
      <c r="H24" s="84"/>
      <c r="I24" s="84"/>
      <c r="J24" s="157"/>
      <c r="K24" s="134"/>
      <c r="L24" s="134"/>
      <c r="M24" s="134"/>
      <c r="N24" s="134"/>
      <c r="O24" s="95"/>
      <c r="P24" s="95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20"/>
      <c r="AD24" s="6"/>
      <c r="AE24" s="6"/>
      <c r="AF24" s="20"/>
    </row>
    <row r="25" spans="1:32" s="3" customFormat="1" ht="27" customHeight="1">
      <c r="A25" s="31"/>
      <c r="B25" s="10"/>
      <c r="C25" s="8"/>
      <c r="D25" s="20"/>
      <c r="E25" s="20"/>
      <c r="F25" s="20"/>
      <c r="G25" s="7"/>
      <c r="H25" s="84"/>
      <c r="I25" s="84"/>
      <c r="J25" s="157"/>
      <c r="K25" s="134"/>
      <c r="L25" s="134"/>
      <c r="M25" s="134"/>
      <c r="N25" s="134"/>
      <c r="O25" s="95"/>
      <c r="P25" s="95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20"/>
      <c r="AD25" s="6"/>
      <c r="AE25" s="6"/>
      <c r="AF25" s="20"/>
    </row>
    <row r="26" spans="1:32" s="3" customFormat="1" ht="27" customHeight="1">
      <c r="A26" s="31">
        <v>1</v>
      </c>
      <c r="B26" s="10"/>
      <c r="C26" s="8" t="str">
        <f t="shared" ref="C26:C43" si="10">+M26</f>
        <v>POLICIA DE LINEA</v>
      </c>
      <c r="D26" s="20">
        <f>H26*2</f>
        <v>782.95066666666673</v>
      </c>
      <c r="E26" s="20">
        <f>I26*2</f>
        <v>81.617333333333335</v>
      </c>
      <c r="F26" s="20">
        <f t="shared" ref="F26:F43" si="11">D26-E26</f>
        <v>701.33333333333337</v>
      </c>
      <c r="G26" s="7"/>
      <c r="H26" s="84">
        <f t="shared" ref="H26:H43" si="12">+N26/15</f>
        <v>391.47533333333337</v>
      </c>
      <c r="I26" s="84">
        <f t="shared" ref="I26:I43" si="13">+P26/15</f>
        <v>40.808666666666667</v>
      </c>
      <c r="J26" s="86">
        <f t="shared" ref="J26:J43" si="14">+H26-I26</f>
        <v>350.66666666666669</v>
      </c>
      <c r="K26" s="142"/>
      <c r="L26" s="98" t="s">
        <v>213</v>
      </c>
      <c r="M26" s="134" t="s">
        <v>90</v>
      </c>
      <c r="N26" s="134">
        <v>5872.13</v>
      </c>
      <c r="O26" s="95">
        <v>0</v>
      </c>
      <c r="P26" s="98">
        <v>612.13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20"/>
      <c r="AC26" s="6"/>
      <c r="AD26" s="6"/>
      <c r="AE26" s="20"/>
    </row>
    <row r="27" spans="1:32" s="3" customFormat="1" ht="27" customHeight="1">
      <c r="A27" s="31">
        <v>2</v>
      </c>
      <c r="B27" s="10"/>
      <c r="C27" s="8" t="str">
        <f t="shared" si="10"/>
        <v>POLICIA DE LINEA</v>
      </c>
      <c r="D27" s="20">
        <f>H27*2</f>
        <v>782.95066666666673</v>
      </c>
      <c r="E27" s="20">
        <f>I27*2</f>
        <v>81.617333333333335</v>
      </c>
      <c r="F27" s="20">
        <f t="shared" si="11"/>
        <v>701.33333333333337</v>
      </c>
      <c r="G27" s="7"/>
      <c r="H27" s="84">
        <f t="shared" si="12"/>
        <v>391.47533333333337</v>
      </c>
      <c r="I27" s="84">
        <f t="shared" si="13"/>
        <v>40.808666666666667</v>
      </c>
      <c r="J27" s="86">
        <f t="shared" si="14"/>
        <v>350.66666666666669</v>
      </c>
      <c r="K27" s="142"/>
      <c r="L27" s="98" t="s">
        <v>215</v>
      </c>
      <c r="M27" s="134" t="s">
        <v>90</v>
      </c>
      <c r="N27" s="134">
        <v>5872.13</v>
      </c>
      <c r="O27" s="95">
        <v>0</v>
      </c>
      <c r="P27" s="98">
        <v>612.13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20"/>
      <c r="AC27" s="6"/>
      <c r="AD27" s="6"/>
      <c r="AE27" s="20"/>
    </row>
    <row r="28" spans="1:32" s="3" customFormat="1" ht="27" customHeight="1">
      <c r="A28" s="31">
        <v>3</v>
      </c>
      <c r="B28" s="10"/>
      <c r="C28" s="8" t="str">
        <f t="shared" si="10"/>
        <v>POLICIA DE LINEA</v>
      </c>
      <c r="D28" s="20">
        <f>H28</f>
        <v>391.47533333333337</v>
      </c>
      <c r="E28" s="20">
        <f>I28</f>
        <v>40.808666666666667</v>
      </c>
      <c r="F28" s="20">
        <f t="shared" si="11"/>
        <v>350.66666666666669</v>
      </c>
      <c r="G28" s="7"/>
      <c r="H28" s="84">
        <f t="shared" si="12"/>
        <v>391.47533333333337</v>
      </c>
      <c r="I28" s="84">
        <f t="shared" si="13"/>
        <v>40.808666666666667</v>
      </c>
      <c r="J28" s="86">
        <f t="shared" si="14"/>
        <v>350.66666666666669</v>
      </c>
      <c r="K28" s="142"/>
      <c r="L28" s="98" t="s">
        <v>255</v>
      </c>
      <c r="M28" s="134" t="s">
        <v>90</v>
      </c>
      <c r="N28" s="134">
        <v>5872.13</v>
      </c>
      <c r="O28" s="95">
        <v>0</v>
      </c>
      <c r="P28" s="98">
        <v>612.13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20"/>
      <c r="AC28" s="6"/>
      <c r="AD28" s="6"/>
      <c r="AE28" s="20"/>
    </row>
    <row r="29" spans="1:32" s="3" customFormat="1" ht="27" customHeight="1">
      <c r="A29" s="31">
        <v>4</v>
      </c>
      <c r="B29" s="10" t="str">
        <f t="shared" ref="B26:B43" si="15">+L29</f>
        <v xml:space="preserve">CAMACHO FLORES MARIO </v>
      </c>
      <c r="C29" s="8" t="str">
        <f t="shared" si="10"/>
        <v>COMANDANTE</v>
      </c>
      <c r="D29" s="20">
        <f>H29*2</f>
        <v>865.25466666666659</v>
      </c>
      <c r="E29" s="20">
        <f>I29*2</f>
        <v>98.587999999999994</v>
      </c>
      <c r="F29" s="20">
        <f t="shared" si="11"/>
        <v>766.66666666666663</v>
      </c>
      <c r="G29" s="7"/>
      <c r="H29" s="84">
        <f t="shared" si="12"/>
        <v>432.6273333333333</v>
      </c>
      <c r="I29" s="84">
        <f t="shared" si="13"/>
        <v>49.293999999999997</v>
      </c>
      <c r="J29" s="86">
        <f t="shared" si="14"/>
        <v>383.33333333333331</v>
      </c>
      <c r="K29" s="142"/>
      <c r="L29" s="98" t="s">
        <v>217</v>
      </c>
      <c r="M29" s="134" t="s">
        <v>208</v>
      </c>
      <c r="N29" s="134">
        <v>6489.41</v>
      </c>
      <c r="O29" s="95">
        <v>0</v>
      </c>
      <c r="P29" s="98">
        <v>739.41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0"/>
      <c r="AC29" s="6"/>
      <c r="AD29" s="6"/>
      <c r="AE29" s="20"/>
    </row>
    <row r="30" spans="1:32" s="3" customFormat="1" ht="27" customHeight="1">
      <c r="A30" s="31">
        <v>5</v>
      </c>
      <c r="B30" s="10" t="str">
        <f t="shared" si="15"/>
        <v xml:space="preserve">FLORES BAÑUELOS ADRIANA ELIZABETH </v>
      </c>
      <c r="C30" s="8" t="str">
        <f t="shared" si="10"/>
        <v>PARAMEDICO</v>
      </c>
      <c r="D30" s="20">
        <f>H30</f>
        <v>390.6633333333333</v>
      </c>
      <c r="E30" s="20">
        <f>I30</f>
        <v>40.663333333333334</v>
      </c>
      <c r="F30" s="20">
        <f t="shared" si="11"/>
        <v>349.99999999999994</v>
      </c>
      <c r="G30" s="7"/>
      <c r="H30" s="84">
        <f t="shared" si="12"/>
        <v>390.6633333333333</v>
      </c>
      <c r="I30" s="84">
        <f t="shared" si="13"/>
        <v>40.663333333333334</v>
      </c>
      <c r="J30" s="86">
        <f t="shared" si="14"/>
        <v>349.99999999999994</v>
      </c>
      <c r="K30" s="142"/>
      <c r="L30" s="98" t="s">
        <v>275</v>
      </c>
      <c r="M30" s="134" t="s">
        <v>274</v>
      </c>
      <c r="N30" s="134">
        <v>5859.95</v>
      </c>
      <c r="O30" s="95">
        <v>0</v>
      </c>
      <c r="P30" s="98">
        <v>609.95000000000005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20"/>
      <c r="AC30" s="6"/>
      <c r="AD30" s="6"/>
      <c r="AE30" s="20"/>
    </row>
    <row r="31" spans="1:32" s="3" customFormat="1" ht="27" customHeight="1">
      <c r="A31" s="31">
        <v>6</v>
      </c>
      <c r="B31" s="10"/>
      <c r="C31" s="8" t="str">
        <f t="shared" si="10"/>
        <v>POLICIA DE LINEA</v>
      </c>
      <c r="D31" s="20">
        <f>H31*2</f>
        <v>782.95066666666673</v>
      </c>
      <c r="E31" s="20">
        <f>I31*2</f>
        <v>81.617333333333335</v>
      </c>
      <c r="F31" s="20">
        <f t="shared" si="11"/>
        <v>701.33333333333337</v>
      </c>
      <c r="G31" s="7"/>
      <c r="H31" s="84">
        <f t="shared" si="12"/>
        <v>391.47533333333337</v>
      </c>
      <c r="I31" s="84">
        <f t="shared" si="13"/>
        <v>40.808666666666667</v>
      </c>
      <c r="J31" s="86">
        <f t="shared" si="14"/>
        <v>350.66666666666669</v>
      </c>
      <c r="K31" s="142"/>
      <c r="L31" s="98" t="s">
        <v>218</v>
      </c>
      <c r="M31" s="134" t="s">
        <v>90</v>
      </c>
      <c r="N31" s="134">
        <v>5872.13</v>
      </c>
      <c r="O31" s="95">
        <v>0</v>
      </c>
      <c r="P31" s="98">
        <v>612.13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20"/>
      <c r="AC31" s="6"/>
      <c r="AD31" s="6"/>
      <c r="AE31" s="20"/>
    </row>
    <row r="32" spans="1:32" s="3" customFormat="1" ht="27" customHeight="1">
      <c r="A32" s="31">
        <v>7</v>
      </c>
      <c r="B32" s="10"/>
      <c r="C32" s="8" t="str">
        <f t="shared" si="10"/>
        <v>POLICIA DE LINEA</v>
      </c>
      <c r="D32" s="20">
        <f>H32</f>
        <v>391.47533333333337</v>
      </c>
      <c r="E32" s="20">
        <f>I32</f>
        <v>40.808666666666667</v>
      </c>
      <c r="F32" s="20">
        <f t="shared" si="11"/>
        <v>350.66666666666669</v>
      </c>
      <c r="G32" s="7"/>
      <c r="H32" s="84">
        <f t="shared" si="12"/>
        <v>391.47533333333337</v>
      </c>
      <c r="I32" s="84">
        <f t="shared" si="13"/>
        <v>40.808666666666667</v>
      </c>
      <c r="J32" s="86">
        <f t="shared" si="14"/>
        <v>350.66666666666669</v>
      </c>
      <c r="K32" s="142"/>
      <c r="L32" s="98" t="s">
        <v>276</v>
      </c>
      <c r="M32" s="134" t="s">
        <v>90</v>
      </c>
      <c r="N32" s="134">
        <v>5872.13</v>
      </c>
      <c r="O32" s="95">
        <v>0</v>
      </c>
      <c r="P32" s="98">
        <v>612.13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20"/>
      <c r="AC32" s="6"/>
      <c r="AD32" s="6"/>
      <c r="AE32" s="20"/>
    </row>
    <row r="33" spans="1:33" s="3" customFormat="1" ht="27" customHeight="1">
      <c r="A33" s="31">
        <v>8</v>
      </c>
      <c r="B33" s="10"/>
      <c r="C33" s="8" t="str">
        <f t="shared" si="10"/>
        <v>POLICIA DE LINEA</v>
      </c>
      <c r="D33" s="20">
        <f>H33*2</f>
        <v>782.95066666666673</v>
      </c>
      <c r="E33" s="20">
        <f>I33*2</f>
        <v>81.617333333333335</v>
      </c>
      <c r="F33" s="20">
        <f t="shared" si="11"/>
        <v>701.33333333333337</v>
      </c>
      <c r="G33" s="7"/>
      <c r="H33" s="84">
        <f t="shared" si="12"/>
        <v>391.47533333333337</v>
      </c>
      <c r="I33" s="84">
        <f t="shared" si="13"/>
        <v>40.808666666666667</v>
      </c>
      <c r="J33" s="86">
        <f t="shared" si="14"/>
        <v>350.66666666666669</v>
      </c>
      <c r="K33" s="142"/>
      <c r="L33" s="98" t="s">
        <v>254</v>
      </c>
      <c r="M33" s="134" t="s">
        <v>90</v>
      </c>
      <c r="N33" s="134">
        <v>5872.13</v>
      </c>
      <c r="O33" s="95">
        <v>0</v>
      </c>
      <c r="P33" s="98">
        <v>612.13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20"/>
      <c r="AC33" s="6"/>
      <c r="AD33" s="6"/>
      <c r="AE33" s="20"/>
    </row>
    <row r="34" spans="1:33" s="3" customFormat="1" ht="27" customHeight="1">
      <c r="A34" s="31">
        <v>9</v>
      </c>
      <c r="B34" s="10"/>
      <c r="C34" s="8" t="str">
        <f t="shared" si="10"/>
        <v>POLICIA DE LINEA</v>
      </c>
      <c r="D34" s="20">
        <f>H34*2</f>
        <v>782.95066666666673</v>
      </c>
      <c r="E34" s="20">
        <f>I34*2</f>
        <v>81.617333333333335</v>
      </c>
      <c r="F34" s="20">
        <f t="shared" si="11"/>
        <v>701.33333333333337</v>
      </c>
      <c r="G34" s="7"/>
      <c r="H34" s="84">
        <f t="shared" si="12"/>
        <v>391.47533333333337</v>
      </c>
      <c r="I34" s="84">
        <f t="shared" si="13"/>
        <v>40.808666666666667</v>
      </c>
      <c r="J34" s="86">
        <f t="shared" si="14"/>
        <v>350.66666666666669</v>
      </c>
      <c r="K34" s="142"/>
      <c r="L34" s="98" t="s">
        <v>242</v>
      </c>
      <c r="M34" s="134" t="s">
        <v>90</v>
      </c>
      <c r="N34" s="134">
        <v>5872.13</v>
      </c>
      <c r="O34" s="95">
        <v>0</v>
      </c>
      <c r="P34" s="98">
        <v>612.13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20"/>
      <c r="AC34" s="6"/>
      <c r="AD34" s="6"/>
      <c r="AE34" s="20"/>
    </row>
    <row r="35" spans="1:33" s="3" customFormat="1" ht="27" customHeight="1">
      <c r="A35" s="31">
        <v>10</v>
      </c>
      <c r="B35" s="10" t="str">
        <f t="shared" si="15"/>
        <v>JAUREGUI MARTINEZ CUAHUTEMOC</v>
      </c>
      <c r="C35" s="8" t="str">
        <f t="shared" si="10"/>
        <v>CHOFER</v>
      </c>
      <c r="D35" s="20">
        <f>H35</f>
        <v>390.6633333333333</v>
      </c>
      <c r="E35" s="20">
        <f>I35</f>
        <v>40.663333333333334</v>
      </c>
      <c r="F35" s="20">
        <f t="shared" si="11"/>
        <v>349.99999999999994</v>
      </c>
      <c r="G35" s="7"/>
      <c r="H35" s="84">
        <f t="shared" si="12"/>
        <v>390.6633333333333</v>
      </c>
      <c r="I35" s="84">
        <f t="shared" si="13"/>
        <v>40.663333333333334</v>
      </c>
      <c r="J35" s="86">
        <f t="shared" si="14"/>
        <v>349.99999999999994</v>
      </c>
      <c r="K35" s="142"/>
      <c r="L35" s="98" t="s">
        <v>277</v>
      </c>
      <c r="M35" s="134" t="s">
        <v>37</v>
      </c>
      <c r="N35" s="134">
        <v>5859.95</v>
      </c>
      <c r="O35" s="95">
        <v>0</v>
      </c>
      <c r="P35" s="98">
        <v>609.95000000000005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20"/>
      <c r="AC35" s="6"/>
      <c r="AD35" s="6"/>
      <c r="AE35" s="20"/>
    </row>
    <row r="36" spans="1:33" s="3" customFormat="1" ht="27" customHeight="1">
      <c r="A36" s="31">
        <v>11</v>
      </c>
      <c r="B36" s="10"/>
      <c r="C36" s="8" t="str">
        <f t="shared" si="10"/>
        <v>POLICIA DE LINEA</v>
      </c>
      <c r="D36" s="20">
        <f>H36*3</f>
        <v>1174.4260000000002</v>
      </c>
      <c r="E36" s="20">
        <f>I36*3</f>
        <v>122.426</v>
      </c>
      <c r="F36" s="20">
        <f t="shared" si="11"/>
        <v>1052.0000000000002</v>
      </c>
      <c r="G36" s="7"/>
      <c r="H36" s="84">
        <f t="shared" si="12"/>
        <v>391.47533333333337</v>
      </c>
      <c r="I36" s="84">
        <f t="shared" si="13"/>
        <v>40.808666666666667</v>
      </c>
      <c r="J36" s="86">
        <f t="shared" si="14"/>
        <v>350.66666666666669</v>
      </c>
      <c r="K36" s="142"/>
      <c r="L36" s="98" t="s">
        <v>159</v>
      </c>
      <c r="M36" s="134" t="s">
        <v>90</v>
      </c>
      <c r="N36" s="134">
        <v>5872.13</v>
      </c>
      <c r="O36" s="95">
        <v>0</v>
      </c>
      <c r="P36" s="98">
        <v>612.13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20"/>
      <c r="AC36" s="6"/>
      <c r="AD36" s="6"/>
      <c r="AE36" s="20"/>
    </row>
    <row r="37" spans="1:33" s="3" customFormat="1" ht="27" customHeight="1">
      <c r="A37" s="31">
        <v>12</v>
      </c>
      <c r="B37" s="10"/>
      <c r="C37" s="8" t="str">
        <f t="shared" si="10"/>
        <v>POLICIA DE LINEA</v>
      </c>
      <c r="D37" s="20">
        <f>H37</f>
        <v>391.47533333333337</v>
      </c>
      <c r="E37" s="20">
        <f>I37</f>
        <v>40.808666666666667</v>
      </c>
      <c r="F37" s="20">
        <f t="shared" si="11"/>
        <v>350.66666666666669</v>
      </c>
      <c r="G37" s="7"/>
      <c r="H37" s="84">
        <f t="shared" si="12"/>
        <v>391.47533333333337</v>
      </c>
      <c r="I37" s="84">
        <f t="shared" si="13"/>
        <v>40.808666666666667</v>
      </c>
      <c r="J37" s="86">
        <f t="shared" si="14"/>
        <v>350.66666666666669</v>
      </c>
      <c r="K37" s="142"/>
      <c r="L37" s="98" t="s">
        <v>178</v>
      </c>
      <c r="M37" s="134" t="s">
        <v>90</v>
      </c>
      <c r="N37" s="134">
        <v>5872.13</v>
      </c>
      <c r="O37" s="95">
        <v>0</v>
      </c>
      <c r="P37" s="98">
        <v>612.13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20"/>
      <c r="AC37" s="6"/>
      <c r="AD37" s="6"/>
      <c r="AE37" s="20"/>
    </row>
    <row r="38" spans="1:33" s="3" customFormat="1" ht="27" customHeight="1">
      <c r="A38" s="31">
        <v>13</v>
      </c>
      <c r="B38" s="10"/>
      <c r="C38" s="8" t="str">
        <f t="shared" si="10"/>
        <v>POLICIA DE LINEA</v>
      </c>
      <c r="D38" s="20">
        <f>H38*2</f>
        <v>782.95066666666673</v>
      </c>
      <c r="E38" s="20">
        <f>I38*2</f>
        <v>81.617333333333335</v>
      </c>
      <c r="F38" s="20">
        <f t="shared" si="11"/>
        <v>701.33333333333337</v>
      </c>
      <c r="G38" s="7"/>
      <c r="H38" s="84">
        <f t="shared" si="12"/>
        <v>391.47533333333337</v>
      </c>
      <c r="I38" s="84">
        <f t="shared" si="13"/>
        <v>40.808666666666667</v>
      </c>
      <c r="J38" s="86">
        <f t="shared" si="14"/>
        <v>350.66666666666669</v>
      </c>
      <c r="K38" s="142"/>
      <c r="L38" s="98" t="s">
        <v>219</v>
      </c>
      <c r="M38" s="134" t="s">
        <v>90</v>
      </c>
      <c r="N38" s="134">
        <v>5872.13</v>
      </c>
      <c r="O38" s="95">
        <v>0</v>
      </c>
      <c r="P38" s="98">
        <v>612.13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20"/>
      <c r="AC38" s="6"/>
      <c r="AD38" s="6"/>
      <c r="AE38" s="20"/>
    </row>
    <row r="39" spans="1:33" s="3" customFormat="1" ht="27" customHeight="1">
      <c r="A39" s="31">
        <v>14</v>
      </c>
      <c r="B39" s="10"/>
      <c r="C39" s="8" t="str">
        <f t="shared" si="10"/>
        <v>POLICIA DE LINEA</v>
      </c>
      <c r="D39" s="20">
        <f>H39</f>
        <v>391.47533333333337</v>
      </c>
      <c r="E39" s="20">
        <f>I39</f>
        <v>40.808666666666667</v>
      </c>
      <c r="F39" s="20">
        <f t="shared" si="11"/>
        <v>350.66666666666669</v>
      </c>
      <c r="G39" s="7"/>
      <c r="H39" s="84">
        <f t="shared" si="12"/>
        <v>391.47533333333337</v>
      </c>
      <c r="I39" s="84">
        <f t="shared" si="13"/>
        <v>40.808666666666667</v>
      </c>
      <c r="J39" s="86">
        <f t="shared" si="14"/>
        <v>350.66666666666669</v>
      </c>
      <c r="K39" s="142"/>
      <c r="L39" s="98" t="s">
        <v>100</v>
      </c>
      <c r="M39" s="134" t="s">
        <v>90</v>
      </c>
      <c r="N39" s="134">
        <v>5872.13</v>
      </c>
      <c r="O39" s="95">
        <v>0</v>
      </c>
      <c r="P39" s="98">
        <v>612.13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20"/>
      <c r="AC39" s="6"/>
      <c r="AD39" s="6"/>
      <c r="AE39" s="20"/>
    </row>
    <row r="40" spans="1:33" s="3" customFormat="1" ht="27" customHeight="1">
      <c r="A40" s="31">
        <v>15</v>
      </c>
      <c r="B40" s="10"/>
      <c r="C40" s="8" t="str">
        <f t="shared" si="10"/>
        <v>POLICIA DE LINEA</v>
      </c>
      <c r="D40" s="20">
        <f>H40*2</f>
        <v>782.95066666666673</v>
      </c>
      <c r="E40" s="20">
        <f>I40*2</f>
        <v>81.617333333333335</v>
      </c>
      <c r="F40" s="20">
        <f t="shared" si="11"/>
        <v>701.33333333333337</v>
      </c>
      <c r="G40" s="7"/>
      <c r="H40" s="84">
        <f t="shared" si="12"/>
        <v>391.47533333333337</v>
      </c>
      <c r="I40" s="84">
        <f t="shared" si="13"/>
        <v>40.808666666666667</v>
      </c>
      <c r="J40" s="86">
        <f t="shared" si="14"/>
        <v>350.66666666666669</v>
      </c>
      <c r="K40" s="142"/>
      <c r="L40" s="98" t="s">
        <v>256</v>
      </c>
      <c r="M40" s="134" t="s">
        <v>90</v>
      </c>
      <c r="N40" s="134">
        <v>5872.13</v>
      </c>
      <c r="O40" s="95">
        <v>0</v>
      </c>
      <c r="P40" s="98">
        <v>612.13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20"/>
      <c r="AC40" s="6"/>
      <c r="AD40" s="6"/>
      <c r="AE40" s="20"/>
    </row>
    <row r="41" spans="1:33" s="3" customFormat="1" ht="27" customHeight="1">
      <c r="A41" s="31">
        <v>16</v>
      </c>
      <c r="B41" s="10"/>
      <c r="C41" s="8" t="str">
        <f t="shared" si="10"/>
        <v>POLICIA DE LINEA</v>
      </c>
      <c r="D41" s="20">
        <f t="shared" ref="D41:E43" si="16">H41</f>
        <v>391.47533333333337</v>
      </c>
      <c r="E41" s="20">
        <f t="shared" si="16"/>
        <v>40.808666666666667</v>
      </c>
      <c r="F41" s="20">
        <f t="shared" si="11"/>
        <v>350.66666666666669</v>
      </c>
      <c r="G41" s="7"/>
      <c r="H41" s="84">
        <f t="shared" si="12"/>
        <v>391.47533333333337</v>
      </c>
      <c r="I41" s="84">
        <f t="shared" si="13"/>
        <v>40.808666666666667</v>
      </c>
      <c r="J41" s="86">
        <f t="shared" si="14"/>
        <v>350.66666666666669</v>
      </c>
      <c r="K41" s="142"/>
      <c r="L41" s="98" t="s">
        <v>162</v>
      </c>
      <c r="M41" s="134" t="s">
        <v>90</v>
      </c>
      <c r="N41" s="134">
        <v>5872.13</v>
      </c>
      <c r="O41" s="95">
        <v>0</v>
      </c>
      <c r="P41" s="98">
        <v>612.13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20"/>
      <c r="AC41" s="6"/>
      <c r="AD41" s="6"/>
      <c r="AE41" s="20"/>
    </row>
    <row r="42" spans="1:33" s="3" customFormat="1" ht="27" customHeight="1">
      <c r="A42" s="31">
        <v>17</v>
      </c>
      <c r="B42" s="10"/>
      <c r="C42" s="8" t="str">
        <f t="shared" si="10"/>
        <v>POLICIA DE LINEA</v>
      </c>
      <c r="D42" s="20">
        <f t="shared" si="16"/>
        <v>391.47533333333337</v>
      </c>
      <c r="E42" s="20">
        <f t="shared" si="16"/>
        <v>40.808666666666667</v>
      </c>
      <c r="F42" s="20">
        <f t="shared" si="11"/>
        <v>350.66666666666669</v>
      </c>
      <c r="G42" s="7"/>
      <c r="H42" s="84">
        <f t="shared" si="12"/>
        <v>391.47533333333337</v>
      </c>
      <c r="I42" s="84">
        <f t="shared" si="13"/>
        <v>40.808666666666667</v>
      </c>
      <c r="J42" s="86">
        <f t="shared" si="14"/>
        <v>350.66666666666669</v>
      </c>
      <c r="K42" s="142"/>
      <c r="L42" s="98" t="s">
        <v>164</v>
      </c>
      <c r="M42" s="134" t="s">
        <v>90</v>
      </c>
      <c r="N42" s="134">
        <v>5872.13</v>
      </c>
      <c r="O42" s="95">
        <v>0</v>
      </c>
      <c r="P42" s="98">
        <v>612.13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20"/>
      <c r="AC42" s="6"/>
      <c r="AD42" s="6"/>
      <c r="AE42" s="20"/>
    </row>
    <row r="43" spans="1:33" s="3" customFormat="1" ht="27" customHeight="1">
      <c r="A43" s="31">
        <v>18</v>
      </c>
      <c r="B43" s="10"/>
      <c r="C43" s="8" t="str">
        <f t="shared" si="10"/>
        <v>POLICIA DE LINEA</v>
      </c>
      <c r="D43" s="20">
        <f t="shared" si="16"/>
        <v>391.47533333333337</v>
      </c>
      <c r="E43" s="20">
        <f t="shared" si="16"/>
        <v>40.808666666666667</v>
      </c>
      <c r="F43" s="20">
        <f t="shared" si="11"/>
        <v>350.66666666666669</v>
      </c>
      <c r="G43" s="7"/>
      <c r="H43" s="84">
        <f t="shared" si="12"/>
        <v>391.47533333333337</v>
      </c>
      <c r="I43" s="84">
        <f t="shared" si="13"/>
        <v>40.808666666666667</v>
      </c>
      <c r="J43" s="86">
        <f t="shared" si="14"/>
        <v>350.66666666666669</v>
      </c>
      <c r="K43" s="142"/>
      <c r="L43" s="98" t="s">
        <v>298</v>
      </c>
      <c r="M43" s="134" t="s">
        <v>90</v>
      </c>
      <c r="N43" s="134">
        <v>5872.13</v>
      </c>
      <c r="O43" s="95">
        <v>0</v>
      </c>
      <c r="P43" s="98">
        <v>612.13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20"/>
      <c r="AC43" s="6"/>
      <c r="AD43" s="6"/>
      <c r="AE43" s="20"/>
    </row>
    <row r="44" spans="1:33" s="3" customFormat="1" ht="27" customHeight="1">
      <c r="A44" s="31"/>
      <c r="B44" s="10"/>
      <c r="C44" s="8"/>
      <c r="D44" s="20"/>
      <c r="E44" s="20"/>
      <c r="F44" s="20"/>
      <c r="G44" s="7"/>
      <c r="H44" s="84"/>
      <c r="I44" s="84"/>
      <c r="J44" s="86"/>
      <c r="K44" s="142"/>
      <c r="L44" s="98"/>
      <c r="M44" s="134"/>
      <c r="N44" s="134"/>
      <c r="O44" s="95"/>
      <c r="P44" s="98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20"/>
      <c r="AC44" s="6"/>
      <c r="AD44" s="6"/>
      <c r="AE44" s="20"/>
    </row>
    <row r="45" spans="1:33" s="3" customFormat="1" ht="27" customHeight="1">
      <c r="A45" s="31"/>
      <c r="B45" s="10"/>
      <c r="C45" s="67" t="s">
        <v>165</v>
      </c>
      <c r="D45" s="63">
        <f>SUM(D26:D44)</f>
        <v>11041.989333333337</v>
      </c>
      <c r="E45" s="63">
        <f>SUM(E26:E44)</f>
        <v>1159.3226666666665</v>
      </c>
      <c r="F45" s="63">
        <f>SUM(F26:F44)</f>
        <v>9882.6666666666642</v>
      </c>
      <c r="G45" s="7"/>
      <c r="H45" s="84"/>
      <c r="I45" s="84"/>
      <c r="J45" s="157"/>
      <c r="K45" s="134"/>
      <c r="L45" s="134"/>
      <c r="M45" s="134"/>
      <c r="N45" s="97"/>
      <c r="O45" s="95"/>
      <c r="P45" s="95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20"/>
      <c r="AD45" s="6"/>
      <c r="AE45" s="6"/>
      <c r="AF45" s="20"/>
    </row>
    <row r="46" spans="1:33" s="3" customFormat="1" ht="27" customHeight="1">
      <c r="A46" s="31"/>
      <c r="B46" s="10"/>
      <c r="C46" s="6"/>
      <c r="D46" s="20"/>
      <c r="E46" s="20"/>
      <c r="F46" s="20"/>
      <c r="G46" s="7"/>
      <c r="H46" s="84"/>
      <c r="I46" s="84"/>
      <c r="J46" s="157"/>
      <c r="K46" s="134"/>
      <c r="L46" s="134"/>
      <c r="M46" s="134"/>
      <c r="N46" s="97"/>
      <c r="O46" s="95"/>
      <c r="P46" s="95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20"/>
      <c r="AD46" s="6"/>
      <c r="AE46" s="6"/>
      <c r="AF46" s="20"/>
    </row>
    <row r="47" spans="1:33" s="3" customFormat="1" ht="27" customHeight="1">
      <c r="A47" s="31"/>
      <c r="B47" s="10" t="s">
        <v>299</v>
      </c>
      <c r="C47" s="6"/>
      <c r="D47" s="20"/>
      <c r="E47" s="20"/>
      <c r="F47" s="20"/>
      <c r="G47" s="7"/>
      <c r="H47" s="84"/>
      <c r="I47" s="84"/>
      <c r="J47" s="157"/>
      <c r="K47" s="134"/>
      <c r="L47" s="134"/>
      <c r="M47" s="134"/>
      <c r="N47" s="134"/>
      <c r="O47" s="95"/>
      <c r="P47" s="97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20"/>
      <c r="AE47" s="6"/>
      <c r="AF47" s="6"/>
      <c r="AG47" s="20"/>
    </row>
    <row r="48" spans="1:33" s="3" customFormat="1" ht="27" customHeight="1">
      <c r="A48" s="31"/>
      <c r="B48" s="10" t="str">
        <f>+B15</f>
        <v>IXTLAHUACAN DEL RIO JALISCO A 31 DE OCTUBRE DE 2019</v>
      </c>
      <c r="C48" s="6"/>
      <c r="D48" s="20"/>
      <c r="E48" s="20"/>
      <c r="F48" s="20"/>
      <c r="G48" s="7"/>
      <c r="H48" s="84"/>
      <c r="I48" s="84"/>
      <c r="J48" s="157"/>
      <c r="K48" s="134"/>
      <c r="L48" s="134"/>
      <c r="M48" s="134"/>
      <c r="N48" s="134"/>
      <c r="O48" s="95"/>
      <c r="P48" s="97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20"/>
      <c r="AE48" s="6"/>
      <c r="AF48" s="6"/>
      <c r="AG48" s="20"/>
    </row>
    <row r="49" spans="1:34" s="3" customFormat="1" ht="27" customHeight="1">
      <c r="A49" s="31"/>
      <c r="B49" s="10"/>
      <c r="C49" s="6"/>
      <c r="D49" s="20"/>
      <c r="E49" s="20"/>
      <c r="F49" s="20"/>
      <c r="G49" s="7"/>
      <c r="H49" s="84"/>
      <c r="I49" s="84"/>
      <c r="J49" s="157"/>
      <c r="K49" s="134"/>
      <c r="L49" s="134"/>
      <c r="M49" s="134"/>
      <c r="N49" s="134"/>
      <c r="O49" s="95"/>
      <c r="P49" s="97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20"/>
      <c r="AE49" s="6"/>
      <c r="AF49" s="6"/>
      <c r="AG49" s="20"/>
    </row>
    <row r="50" spans="1:34" s="3" customFormat="1" ht="27" customHeight="1">
      <c r="A50" s="31"/>
      <c r="B50" s="10"/>
      <c r="C50" s="6"/>
      <c r="D50" s="20"/>
      <c r="E50" s="20"/>
      <c r="F50" s="20"/>
      <c r="G50" s="7"/>
      <c r="H50" s="84"/>
      <c r="I50" s="84"/>
      <c r="J50" s="157"/>
      <c r="K50" s="134"/>
      <c r="L50" s="134"/>
      <c r="M50" s="134"/>
      <c r="N50" s="134"/>
      <c r="O50" s="95"/>
      <c r="P50" s="97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20"/>
      <c r="AE50" s="6"/>
      <c r="AF50" s="6"/>
      <c r="AG50" s="20"/>
    </row>
    <row r="51" spans="1:34" s="3" customFormat="1" ht="27" customHeight="1">
      <c r="A51" s="31"/>
      <c r="B51" s="10"/>
      <c r="C51" s="6"/>
      <c r="D51" s="20"/>
      <c r="E51" s="20"/>
      <c r="F51" s="20"/>
      <c r="G51" s="7"/>
      <c r="H51" s="84"/>
      <c r="I51" s="84"/>
      <c r="J51" s="157"/>
      <c r="K51" s="134"/>
      <c r="L51" s="134"/>
      <c r="M51" s="134"/>
      <c r="N51" s="134"/>
      <c r="O51" s="97"/>
      <c r="P51" s="134"/>
      <c r="Q51" s="2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20"/>
      <c r="AF51" s="6"/>
      <c r="AG51" s="6"/>
      <c r="AH51" s="20"/>
    </row>
    <row r="52" spans="1:34" s="3" customFormat="1" ht="27" customHeight="1">
      <c r="A52" s="9"/>
      <c r="B52" s="10"/>
      <c r="C52" s="26"/>
      <c r="D52" s="4"/>
      <c r="E52" s="4"/>
      <c r="F52" s="4"/>
      <c r="G52" s="7"/>
      <c r="H52" s="84"/>
      <c r="I52" s="91"/>
      <c r="J52" s="157"/>
      <c r="K52" s="87"/>
      <c r="L52" s="110"/>
      <c r="M52" s="118"/>
      <c r="N52" s="118"/>
      <c r="O52" s="131"/>
      <c r="P52" s="118"/>
      <c r="Q52" s="2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20"/>
      <c r="AF52" s="6"/>
      <c r="AG52" s="6"/>
      <c r="AH52" s="20"/>
    </row>
    <row r="53" spans="1:34" s="3" customFormat="1" ht="27" customHeight="1">
      <c r="A53" s="9"/>
      <c r="B53" s="10"/>
      <c r="C53" s="26"/>
      <c r="D53" s="32"/>
      <c r="E53" s="32"/>
      <c r="F53" s="32"/>
      <c r="G53" s="7"/>
      <c r="H53" s="84"/>
      <c r="I53" s="91"/>
      <c r="J53" s="157"/>
      <c r="K53" s="87"/>
      <c r="L53" s="110"/>
      <c r="M53" s="118"/>
      <c r="N53" s="118"/>
      <c r="O53" s="131"/>
      <c r="P53" s="118"/>
      <c r="Q53" s="2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20"/>
      <c r="AF53" s="6"/>
      <c r="AG53" s="6"/>
      <c r="AH53" s="20"/>
    </row>
    <row r="54" spans="1:34" s="3" customFormat="1" ht="27" customHeight="1">
      <c r="A54" s="9"/>
      <c r="C54" s="30"/>
      <c r="D54" s="4"/>
      <c r="E54" s="4"/>
      <c r="F54" s="4"/>
      <c r="G54" s="7" t="s">
        <v>18</v>
      </c>
      <c r="H54" s="84"/>
      <c r="I54" s="91"/>
      <c r="J54" s="157">
        <f>SUM(H54-I54)</f>
        <v>0</v>
      </c>
      <c r="K54" s="87"/>
      <c r="L54" s="110"/>
      <c r="M54" s="118"/>
      <c r="N54" s="120"/>
      <c r="O54" s="131"/>
      <c r="P54" s="131"/>
      <c r="Q54" s="2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20"/>
      <c r="AF54" s="6"/>
      <c r="AG54" s="6"/>
      <c r="AH54" s="20"/>
    </row>
    <row r="55" spans="1:34" s="3" customFormat="1" ht="27" customHeight="1">
      <c r="A55" s="9"/>
      <c r="C55" s="26"/>
      <c r="D55" s="4"/>
      <c r="E55" s="4"/>
      <c r="F55" s="4"/>
      <c r="G55" s="7" t="s">
        <v>18</v>
      </c>
      <c r="H55" s="84"/>
      <c r="I55" s="91"/>
      <c r="J55" s="157">
        <f>SUM(H55-I55)</f>
        <v>0</v>
      </c>
      <c r="K55" s="87"/>
      <c r="L55" s="109"/>
      <c r="M55" s="95"/>
      <c r="N55" s="117"/>
      <c r="O55" s="131"/>
      <c r="P55" s="131"/>
      <c r="Q55" s="2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20"/>
      <c r="AF55" s="6"/>
      <c r="AG55" s="6"/>
      <c r="AH55" s="20"/>
    </row>
    <row r="56" spans="1:34" s="3" customFormat="1" ht="27" customHeight="1">
      <c r="A56" s="9"/>
      <c r="B56" s="10"/>
      <c r="C56" s="26"/>
      <c r="D56" s="28"/>
      <c r="E56" s="28"/>
      <c r="F56" s="21"/>
      <c r="G56" s="7" t="s">
        <v>18</v>
      </c>
      <c r="H56" s="91"/>
      <c r="I56" s="91"/>
      <c r="J56" s="157"/>
      <c r="K56" s="98"/>
      <c r="L56" s="98"/>
      <c r="M56" s="95"/>
      <c r="N56" s="117"/>
      <c r="O56" s="131"/>
      <c r="P56" s="131"/>
      <c r="Q56" s="2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20"/>
      <c r="AF56" s="6"/>
      <c r="AG56" s="6"/>
      <c r="AH56" s="20"/>
    </row>
    <row r="64" spans="1:34" ht="27" customHeight="1">
      <c r="D64" s="20"/>
      <c r="E64" s="20"/>
      <c r="F64" s="20"/>
    </row>
    <row r="65" spans="3:6" ht="27" customHeight="1">
      <c r="D65" s="20"/>
      <c r="E65" s="20"/>
      <c r="F65" s="20"/>
    </row>
    <row r="66" spans="3:6" ht="27" customHeight="1">
      <c r="D66" s="20"/>
      <c r="E66" s="20"/>
      <c r="F66" s="20"/>
    </row>
    <row r="67" spans="3:6" ht="27" customHeight="1">
      <c r="D67" s="20"/>
      <c r="E67" s="20"/>
      <c r="F67" s="20"/>
    </row>
    <row r="68" spans="3:6" ht="27" customHeight="1">
      <c r="C68" s="62"/>
      <c r="D68" s="63"/>
      <c r="E68" s="63"/>
      <c r="F68" s="63"/>
    </row>
  </sheetData>
  <sortState ref="A26:V43">
    <sortCondition ref="B26:B43"/>
  </sortState>
  <mergeCells count="8">
    <mergeCell ref="A23:G23"/>
    <mergeCell ref="A24:G24"/>
    <mergeCell ref="A1:G1"/>
    <mergeCell ref="A2:G2"/>
    <mergeCell ref="A3:G3"/>
    <mergeCell ref="A4:G4"/>
    <mergeCell ref="A21:G21"/>
    <mergeCell ref="A22:G22"/>
  </mergeCells>
  <pageMargins left="0.23622047244094491" right="0.23622047244094491" top="0.74803149606299213" bottom="0.74803149606299213" header="0.31496062992125984" footer="0.31496062992125984"/>
  <pageSetup scale="4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4"/>
  <sheetViews>
    <sheetView zoomScale="80" zoomScaleNormal="80" workbookViewId="0">
      <selection activeCell="A38" sqref="A38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59.5703125" style="30" bestFit="1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37" style="6" customWidth="1"/>
    <col min="8" max="8" width="11.42578125" style="84"/>
    <col min="9" max="9" width="9.5703125" style="91" customWidth="1"/>
    <col min="10" max="10" width="17.5703125" style="157" customWidth="1"/>
    <col min="11" max="11" width="16.7109375" style="87" customWidth="1"/>
    <col min="12" max="12" width="23.42578125" style="109" customWidth="1"/>
    <col min="13" max="13" width="9.7109375" style="95" customWidth="1"/>
    <col min="14" max="14" width="10" style="117" bestFit="1" customWidth="1"/>
    <col min="15" max="15" width="7.85546875" style="131" bestFit="1" customWidth="1"/>
    <col min="16" max="16" width="7.7109375" style="131" bestFit="1" customWidth="1"/>
    <col min="17" max="17" width="11.7109375" style="95" customWidth="1"/>
    <col min="18" max="18" width="6.85546875" style="6" customWidth="1"/>
    <col min="19" max="19" width="13.85546875" style="6" customWidth="1"/>
    <col min="20" max="20" width="11.7109375" style="6" customWidth="1"/>
    <col min="21" max="21" width="43.42578125" style="6" customWidth="1"/>
    <col min="22" max="30" width="11.7109375" style="6" customWidth="1"/>
    <col min="31" max="31" width="11.7109375" style="20" customWidth="1"/>
    <col min="32" max="33" width="11.7109375" style="6" customWidth="1"/>
    <col min="34" max="34" width="11.7109375" style="20" customWidth="1"/>
    <col min="35" max="35" width="11.7109375" style="6" customWidth="1"/>
    <col min="36" max="36" width="2.28515625" style="6" customWidth="1"/>
    <col min="37" max="37" width="15.5703125" style="6" customWidth="1"/>
    <col min="38" max="38" width="11.42578125" style="6" customWidth="1"/>
    <col min="39" max="39" width="11.42578125" style="6"/>
    <col min="40" max="40" width="11.42578125" style="6" customWidth="1"/>
    <col min="41" max="41" width="42.28515625" style="6" customWidth="1"/>
    <col min="42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153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290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s="3" customFormat="1" ht="27" customHeight="1">
      <c r="A7" s="31">
        <v>1</v>
      </c>
      <c r="B7" s="8" t="str">
        <f t="shared" ref="B7:C17" si="0">+L7</f>
        <v xml:space="preserve">BARAJAS RAMIREZ ANTONIO </v>
      </c>
      <c r="C7" s="6" t="str">
        <f t="shared" si="0"/>
        <v xml:space="preserve">AYUDANTE PARQUES Y JARDINES </v>
      </c>
      <c r="D7" s="20">
        <f t="shared" ref="D7" si="1">H7</f>
        <v>244.48266666666666</v>
      </c>
      <c r="E7" s="20">
        <f t="shared" ref="E7" si="2">I7</f>
        <v>11.149333333333335</v>
      </c>
      <c r="F7" s="20">
        <f t="shared" ref="F7" si="3">D7-E7</f>
        <v>233.33333333333331</v>
      </c>
      <c r="G7" s="24"/>
      <c r="H7" s="84">
        <f>+N7/15</f>
        <v>244.48266666666666</v>
      </c>
      <c r="I7" s="84">
        <f>+P7/15</f>
        <v>11.149333333333335</v>
      </c>
      <c r="J7" s="157">
        <f t="shared" ref="J7" si="4">+H7-I7</f>
        <v>233.33333333333331</v>
      </c>
      <c r="K7" s="142"/>
      <c r="L7" s="98" t="s">
        <v>58</v>
      </c>
      <c r="M7" s="143" t="s">
        <v>59</v>
      </c>
      <c r="N7" s="144">
        <v>3667.24</v>
      </c>
      <c r="O7" s="97">
        <v>0</v>
      </c>
      <c r="P7" s="97">
        <v>167.24</v>
      </c>
      <c r="Q7" s="95"/>
      <c r="R7" s="2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20"/>
      <c r="AG7" s="6"/>
      <c r="AH7" s="6"/>
      <c r="AI7" s="20"/>
    </row>
    <row r="8" spans="1:35" s="3" customFormat="1" ht="27" customHeight="1">
      <c r="A8" s="31">
        <v>2</v>
      </c>
      <c r="B8" s="8" t="str">
        <f t="shared" si="0"/>
        <v xml:space="preserve">BARCENAS AVILA ENRIQUE </v>
      </c>
      <c r="C8" s="6" t="str">
        <f t="shared" si="0"/>
        <v xml:space="preserve">CHOFER  DE CAMION DE BASURA </v>
      </c>
      <c r="D8" s="20">
        <f t="shared" ref="D8:E8" si="5">H8</f>
        <v>244.48266666666666</v>
      </c>
      <c r="E8" s="20">
        <f t="shared" si="5"/>
        <v>11.149333333333335</v>
      </c>
      <c r="F8" s="20">
        <f t="shared" ref="F8" si="6">D8-E8</f>
        <v>233.33333333333331</v>
      </c>
      <c r="G8" s="24"/>
      <c r="H8" s="84">
        <f t="shared" ref="H8:H17" si="7">+N8/15</f>
        <v>244.48266666666666</v>
      </c>
      <c r="I8" s="84">
        <f t="shared" ref="I8:I17" si="8">+P8/15</f>
        <v>11.149333333333335</v>
      </c>
      <c r="J8" s="157">
        <f t="shared" ref="J8:J17" si="9">+H8-I8</f>
        <v>233.33333333333331</v>
      </c>
      <c r="K8" s="142"/>
      <c r="L8" s="98" t="s">
        <v>129</v>
      </c>
      <c r="M8" s="143" t="s">
        <v>130</v>
      </c>
      <c r="N8" s="144">
        <v>3667.24</v>
      </c>
      <c r="O8" s="97">
        <v>0</v>
      </c>
      <c r="P8" s="97">
        <v>167.24</v>
      </c>
      <c r="Q8" s="95"/>
      <c r="R8" s="2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6"/>
      <c r="AH8" s="6"/>
      <c r="AI8" s="20"/>
    </row>
    <row r="9" spans="1:35" s="3" customFormat="1" ht="27" customHeight="1">
      <c r="A9" s="31">
        <v>3</v>
      </c>
      <c r="B9" s="8" t="str">
        <f t="shared" si="0"/>
        <v xml:space="preserve">DELGADILLO SANCHEZ ROBERTO CARLOS </v>
      </c>
      <c r="C9" s="6" t="str">
        <f t="shared" si="0"/>
        <v>BASURA</v>
      </c>
      <c r="D9" s="20">
        <f t="shared" ref="D9:D16" si="10">H9</f>
        <v>224.43733333333333</v>
      </c>
      <c r="E9" s="20">
        <f t="shared" ref="E9:E16" si="11">I9</f>
        <v>7.7706666666666671</v>
      </c>
      <c r="F9" s="20">
        <f t="shared" ref="F9:F17" si="12">D9-E9</f>
        <v>216.66666666666666</v>
      </c>
      <c r="G9" s="24"/>
      <c r="H9" s="84">
        <f t="shared" si="7"/>
        <v>224.43733333333333</v>
      </c>
      <c r="I9" s="84">
        <f t="shared" si="8"/>
        <v>7.7706666666666671</v>
      </c>
      <c r="J9" s="157">
        <f t="shared" si="9"/>
        <v>216.66666666666666</v>
      </c>
      <c r="K9" s="142"/>
      <c r="L9" s="98" t="s">
        <v>135</v>
      </c>
      <c r="M9" s="143" t="s">
        <v>133</v>
      </c>
      <c r="N9" s="144">
        <v>3366.56</v>
      </c>
      <c r="O9" s="97"/>
      <c r="P9" s="97">
        <v>116.56</v>
      </c>
      <c r="Q9" s="95"/>
      <c r="R9" s="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0"/>
      <c r="AG9" s="6"/>
      <c r="AH9" s="6"/>
      <c r="AI9" s="20"/>
    </row>
    <row r="10" spans="1:35" s="3" customFormat="1" ht="27" customHeight="1">
      <c r="A10" s="31">
        <v>4</v>
      </c>
      <c r="B10" s="8" t="str">
        <f t="shared" si="0"/>
        <v xml:space="preserve">DIAZ SALDAÑA TOBIAS </v>
      </c>
      <c r="C10" s="6" t="str">
        <f t="shared" si="0"/>
        <v>BASURA</v>
      </c>
      <c r="D10" s="20">
        <f t="shared" si="10"/>
        <v>184.87</v>
      </c>
      <c r="E10" s="20">
        <f t="shared" si="11"/>
        <v>2.0960000000000001</v>
      </c>
      <c r="F10" s="20">
        <f t="shared" si="12"/>
        <v>182.774</v>
      </c>
      <c r="G10" s="24"/>
      <c r="H10" s="84">
        <f t="shared" si="7"/>
        <v>184.87</v>
      </c>
      <c r="I10" s="84">
        <f t="shared" si="8"/>
        <v>2.0960000000000001</v>
      </c>
      <c r="J10" s="157">
        <f t="shared" si="9"/>
        <v>182.774</v>
      </c>
      <c r="K10" s="142"/>
      <c r="L10" s="98" t="s">
        <v>136</v>
      </c>
      <c r="M10" s="143" t="s">
        <v>133</v>
      </c>
      <c r="N10" s="144">
        <v>2773.05</v>
      </c>
      <c r="O10" s="97">
        <v>0</v>
      </c>
      <c r="P10" s="97">
        <v>31.44</v>
      </c>
      <c r="Q10" s="95"/>
      <c r="R10" s="2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0"/>
      <c r="AG10" s="6"/>
      <c r="AH10" s="6"/>
      <c r="AI10" s="20"/>
    </row>
    <row r="11" spans="1:35" s="3" customFormat="1" ht="27" customHeight="1">
      <c r="A11" s="31">
        <v>5</v>
      </c>
      <c r="B11" s="8" t="str">
        <f t="shared" si="0"/>
        <v xml:space="preserve">GOMEZ HUERTA JOSE LUIS </v>
      </c>
      <c r="C11" s="6" t="str">
        <f t="shared" si="0"/>
        <v xml:space="preserve">DEPARTAMENTO DE PARQUES UNIDADES DEPORTIVAS Y  JARDINES </v>
      </c>
      <c r="D11" s="20">
        <f t="shared" si="10"/>
        <v>290.17</v>
      </c>
      <c r="E11" s="20">
        <f t="shared" si="11"/>
        <v>23.503333333333334</v>
      </c>
      <c r="F11" s="20">
        <f t="shared" si="12"/>
        <v>266.66666666666669</v>
      </c>
      <c r="G11" s="24"/>
      <c r="H11" s="84">
        <f t="shared" si="7"/>
        <v>290.17</v>
      </c>
      <c r="I11" s="84">
        <f t="shared" si="8"/>
        <v>23.503333333333334</v>
      </c>
      <c r="J11" s="157">
        <f t="shared" si="9"/>
        <v>266.66666666666669</v>
      </c>
      <c r="K11" s="142"/>
      <c r="L11" s="98" t="s">
        <v>113</v>
      </c>
      <c r="M11" s="143" t="s">
        <v>114</v>
      </c>
      <c r="N11" s="144">
        <v>4352.55</v>
      </c>
      <c r="O11" s="97">
        <v>0</v>
      </c>
      <c r="P11" s="97">
        <v>352.55</v>
      </c>
      <c r="Q11" s="95"/>
      <c r="R11" s="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0"/>
      <c r="AG11" s="6"/>
      <c r="AH11" s="6"/>
      <c r="AI11" s="20"/>
    </row>
    <row r="12" spans="1:35" s="3" customFormat="1" ht="27" customHeight="1">
      <c r="A12" s="31">
        <v>6</v>
      </c>
      <c r="B12" s="8" t="str">
        <f t="shared" si="0"/>
        <v xml:space="preserve">GONZALEZ LIMON JOSE CARLOS </v>
      </c>
      <c r="C12" s="6" t="str">
        <f t="shared" si="0"/>
        <v>UNIDAD DE REHABILITACION DE ESCUELAS</v>
      </c>
      <c r="D12" s="20">
        <f t="shared" si="10"/>
        <v>244.48266666666666</v>
      </c>
      <c r="E12" s="20">
        <f t="shared" si="11"/>
        <v>11.149333333333335</v>
      </c>
      <c r="F12" s="20">
        <f t="shared" si="12"/>
        <v>233.33333333333331</v>
      </c>
      <c r="G12" s="24"/>
      <c r="H12" s="84">
        <f t="shared" si="7"/>
        <v>244.48266666666666</v>
      </c>
      <c r="I12" s="84">
        <f t="shared" si="8"/>
        <v>11.149333333333335</v>
      </c>
      <c r="J12" s="157">
        <f t="shared" si="9"/>
        <v>233.33333333333331</v>
      </c>
      <c r="K12" s="142"/>
      <c r="L12" s="98" t="s">
        <v>68</v>
      </c>
      <c r="M12" s="143" t="s">
        <v>69</v>
      </c>
      <c r="N12" s="144">
        <v>3667.24</v>
      </c>
      <c r="O12" s="97">
        <v>0</v>
      </c>
      <c r="P12" s="97">
        <v>167.24</v>
      </c>
      <c r="Q12" s="95"/>
      <c r="R12" s="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0"/>
      <c r="AG12" s="6"/>
      <c r="AH12" s="6"/>
      <c r="AI12" s="20"/>
    </row>
    <row r="13" spans="1:35" s="3" customFormat="1" ht="27" customHeight="1">
      <c r="A13" s="31">
        <v>7</v>
      </c>
      <c r="B13" s="8" t="str">
        <f t="shared" si="0"/>
        <v xml:space="preserve">GUZMAN DELGADO MAYQUENA </v>
      </c>
      <c r="C13" s="6" t="str">
        <f t="shared" si="0"/>
        <v>AUX ADMINISTRATIVO A</v>
      </c>
      <c r="D13" s="20">
        <f t="shared" si="10"/>
        <v>244.48266666666666</v>
      </c>
      <c r="E13" s="20">
        <f t="shared" si="11"/>
        <v>11.149333333333335</v>
      </c>
      <c r="F13" s="20">
        <f t="shared" si="12"/>
        <v>233.33333333333331</v>
      </c>
      <c r="G13" s="24"/>
      <c r="H13" s="84">
        <f t="shared" si="7"/>
        <v>244.48266666666666</v>
      </c>
      <c r="I13" s="84">
        <f t="shared" si="8"/>
        <v>11.149333333333335</v>
      </c>
      <c r="J13" s="157">
        <f t="shared" si="9"/>
        <v>233.33333333333331</v>
      </c>
      <c r="K13" s="142"/>
      <c r="L13" s="98" t="s">
        <v>138</v>
      </c>
      <c r="M13" s="143" t="s">
        <v>139</v>
      </c>
      <c r="N13" s="144">
        <v>3667.24</v>
      </c>
      <c r="O13" s="97">
        <v>0</v>
      </c>
      <c r="P13" s="97">
        <v>167.24</v>
      </c>
      <c r="Q13" s="95"/>
      <c r="R13" s="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0"/>
      <c r="AG13" s="6"/>
      <c r="AH13" s="6"/>
      <c r="AI13" s="20"/>
    </row>
    <row r="14" spans="1:35" s="3" customFormat="1" ht="27" customHeight="1">
      <c r="A14" s="31">
        <v>8</v>
      </c>
      <c r="B14" s="8" t="str">
        <f t="shared" si="0"/>
        <v xml:space="preserve">MARQUEZ ROMERO GABRIEL </v>
      </c>
      <c r="C14" s="6" t="str">
        <f t="shared" si="0"/>
        <v>CHOFER ACARREADOR RASTRO</v>
      </c>
      <c r="D14" s="20">
        <f t="shared" si="10"/>
        <v>282.54399999999998</v>
      </c>
      <c r="E14" s="20">
        <f t="shared" si="11"/>
        <v>22.544</v>
      </c>
      <c r="F14" s="20">
        <f t="shared" si="12"/>
        <v>260</v>
      </c>
      <c r="G14" s="24"/>
      <c r="H14" s="84">
        <f t="shared" si="7"/>
        <v>282.54399999999998</v>
      </c>
      <c r="I14" s="84">
        <f t="shared" si="8"/>
        <v>22.544</v>
      </c>
      <c r="J14" s="157">
        <f t="shared" si="9"/>
        <v>260</v>
      </c>
      <c r="K14" s="142"/>
      <c r="L14" s="98" t="s">
        <v>72</v>
      </c>
      <c r="M14" s="143" t="s">
        <v>73</v>
      </c>
      <c r="N14" s="144">
        <v>4238.16</v>
      </c>
      <c r="O14" s="97">
        <v>0</v>
      </c>
      <c r="P14" s="97">
        <v>338.16</v>
      </c>
      <c r="Q14" s="95"/>
      <c r="R14" s="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0"/>
      <c r="AG14" s="6"/>
      <c r="AH14" s="6"/>
      <c r="AI14" s="20"/>
    </row>
    <row r="15" spans="1:35" s="3" customFormat="1" ht="27" customHeight="1">
      <c r="A15" s="31">
        <v>9</v>
      </c>
      <c r="B15" s="8" t="str">
        <f t="shared" si="0"/>
        <v xml:space="preserve">SANDOVAL OLIVA JOSE FAVIAN </v>
      </c>
      <c r="C15" s="6" t="str">
        <f t="shared" si="0"/>
        <v>AUX DE RASTRO</v>
      </c>
      <c r="D15" s="20">
        <f t="shared" si="10"/>
        <v>224.43733333333333</v>
      </c>
      <c r="E15" s="20">
        <f t="shared" si="11"/>
        <v>7.7706666666666671</v>
      </c>
      <c r="F15" s="20">
        <f t="shared" si="12"/>
        <v>216.66666666666666</v>
      </c>
      <c r="G15" s="24"/>
      <c r="H15" s="84">
        <f t="shared" si="7"/>
        <v>224.43733333333333</v>
      </c>
      <c r="I15" s="84">
        <f t="shared" si="8"/>
        <v>7.7706666666666671</v>
      </c>
      <c r="J15" s="157">
        <f t="shared" si="9"/>
        <v>216.66666666666666</v>
      </c>
      <c r="K15" s="142"/>
      <c r="L15" s="98" t="s">
        <v>80</v>
      </c>
      <c r="M15" s="143" t="s">
        <v>81</v>
      </c>
      <c r="N15" s="144">
        <v>3366.56</v>
      </c>
      <c r="O15" s="97">
        <v>0</v>
      </c>
      <c r="P15" s="97">
        <v>116.56</v>
      </c>
      <c r="Q15" s="95"/>
      <c r="R15" s="2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20"/>
      <c r="AG15" s="6"/>
      <c r="AH15" s="6"/>
      <c r="AI15" s="20"/>
    </row>
    <row r="16" spans="1:35" s="3" customFormat="1" ht="27" customHeight="1">
      <c r="A16" s="31">
        <v>10</v>
      </c>
      <c r="B16" s="8" t="str">
        <f t="shared" si="0"/>
        <v xml:space="preserve">VAZQUEZ FLORES FERNANDO </v>
      </c>
      <c r="C16" s="6" t="str">
        <f t="shared" si="0"/>
        <v>BASURA</v>
      </c>
      <c r="D16" s="20">
        <f t="shared" si="10"/>
        <v>183.19</v>
      </c>
      <c r="E16" s="20">
        <f t="shared" si="11"/>
        <v>1.9133333333333333</v>
      </c>
      <c r="F16" s="20">
        <f t="shared" si="12"/>
        <v>181.27666666666667</v>
      </c>
      <c r="G16" s="24"/>
      <c r="H16" s="84">
        <f t="shared" si="7"/>
        <v>183.19</v>
      </c>
      <c r="I16" s="84">
        <f t="shared" si="8"/>
        <v>1.9133333333333333</v>
      </c>
      <c r="J16" s="157">
        <f t="shared" si="9"/>
        <v>181.27666666666667</v>
      </c>
      <c r="K16" s="142"/>
      <c r="L16" s="98" t="s">
        <v>157</v>
      </c>
      <c r="M16" s="143" t="s">
        <v>133</v>
      </c>
      <c r="N16" s="144">
        <v>2747.85</v>
      </c>
      <c r="O16" s="97">
        <v>0</v>
      </c>
      <c r="P16" s="97">
        <v>28.7</v>
      </c>
      <c r="Q16" s="95"/>
      <c r="R16" s="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20"/>
      <c r="AG16" s="6"/>
      <c r="AH16" s="6"/>
      <c r="AI16" s="20"/>
    </row>
    <row r="17" spans="1:35" s="3" customFormat="1" ht="27" customHeight="1">
      <c r="A17" s="31">
        <v>11</v>
      </c>
      <c r="B17" s="8" t="str">
        <f t="shared" si="0"/>
        <v>YAÑEZ JIMENEZ JORGE</v>
      </c>
      <c r="C17" s="6" t="str">
        <f t="shared" si="0"/>
        <v>BASURA</v>
      </c>
      <c r="D17" s="20">
        <f>H17*2</f>
        <v>448.87600000000003</v>
      </c>
      <c r="E17" s="20">
        <f>I17*2</f>
        <v>15.542666666666666</v>
      </c>
      <c r="F17" s="20">
        <f t="shared" si="12"/>
        <v>433.33333333333337</v>
      </c>
      <c r="G17" s="24"/>
      <c r="H17" s="84">
        <f t="shared" si="7"/>
        <v>224.43800000000002</v>
      </c>
      <c r="I17" s="84">
        <f t="shared" si="8"/>
        <v>7.7713333333333328</v>
      </c>
      <c r="J17" s="157">
        <f t="shared" si="9"/>
        <v>216.66666666666669</v>
      </c>
      <c r="K17" s="142"/>
      <c r="L17" s="98" t="s">
        <v>142</v>
      </c>
      <c r="M17" s="143" t="s">
        <v>133</v>
      </c>
      <c r="N17" s="144">
        <v>3366.57</v>
      </c>
      <c r="O17" s="97"/>
      <c r="P17" s="97">
        <v>116.57</v>
      </c>
      <c r="Q17" s="95"/>
      <c r="R17" s="2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20"/>
      <c r="AG17" s="6"/>
      <c r="AH17" s="6"/>
      <c r="AI17" s="20"/>
    </row>
    <row r="18" spans="1:35" s="3" customFormat="1" ht="27" customHeight="1">
      <c r="A18" s="31"/>
      <c r="B18" s="10"/>
      <c r="C18" s="6"/>
      <c r="D18" s="20"/>
      <c r="E18" s="20"/>
      <c r="F18" s="20"/>
      <c r="G18" s="7"/>
      <c r="H18" s="84"/>
      <c r="I18" s="84"/>
      <c r="J18" s="157"/>
      <c r="K18" s="142"/>
      <c r="L18" s="146"/>
      <c r="M18" s="148"/>
      <c r="N18" s="141"/>
      <c r="O18" s="141"/>
      <c r="P18" s="141"/>
      <c r="Q18" s="95"/>
      <c r="R18" s="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20"/>
      <c r="AG18" s="6"/>
      <c r="AH18" s="6"/>
      <c r="AI18" s="20"/>
    </row>
    <row r="19" spans="1:35" s="3" customFormat="1" ht="27" customHeight="1">
      <c r="A19" s="31"/>
      <c r="B19" s="10"/>
      <c r="C19" s="67" t="s">
        <v>165</v>
      </c>
      <c r="D19" s="63">
        <f>SUM(D7:D18)</f>
        <v>2816.4553333333333</v>
      </c>
      <c r="E19" s="63">
        <f>SUM(E7:E18)</f>
        <v>125.73799999999999</v>
      </c>
      <c r="F19" s="63">
        <f>SUM(F7:F18)</f>
        <v>2690.717333333333</v>
      </c>
      <c r="G19" s="7"/>
      <c r="H19" s="84"/>
      <c r="I19" s="84"/>
      <c r="J19" s="157"/>
      <c r="K19" s="134"/>
      <c r="L19" s="134"/>
      <c r="M19" s="134"/>
      <c r="N19" s="97"/>
      <c r="O19" s="95"/>
      <c r="P19" s="95"/>
      <c r="Q19" s="98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20"/>
      <c r="AD19" s="6"/>
      <c r="AE19" s="6"/>
      <c r="AF19" s="20"/>
    </row>
    <row r="20" spans="1:35" s="3" customFormat="1" ht="27" customHeight="1">
      <c r="A20" s="31"/>
      <c r="B20" s="10" t="s">
        <v>292</v>
      </c>
      <c r="C20" s="6"/>
      <c r="D20" s="20"/>
      <c r="E20" s="20"/>
      <c r="F20" s="20"/>
      <c r="G20" s="7"/>
      <c r="H20" s="84"/>
      <c r="I20" s="84"/>
      <c r="J20" s="157"/>
      <c r="K20" s="134"/>
      <c r="L20" s="134"/>
      <c r="M20" s="134"/>
      <c r="N20" s="134"/>
      <c r="O20" s="95"/>
      <c r="P20" s="95"/>
      <c r="Q20" s="98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20"/>
      <c r="AD20" s="6"/>
      <c r="AE20" s="6"/>
      <c r="AF20" s="20"/>
    </row>
    <row r="21" spans="1:35" s="3" customFormat="1" ht="27" customHeight="1">
      <c r="A21" s="31"/>
      <c r="B21" s="10" t="s">
        <v>291</v>
      </c>
      <c r="C21" s="6"/>
      <c r="D21" s="20"/>
      <c r="E21" s="20"/>
      <c r="F21" s="20"/>
      <c r="G21" s="7"/>
      <c r="H21" s="84"/>
      <c r="I21" s="84"/>
      <c r="J21" s="157"/>
      <c r="K21" s="134"/>
      <c r="L21" s="134"/>
      <c r="M21" s="134"/>
      <c r="N21" s="134"/>
      <c r="O21" s="95"/>
      <c r="P21" s="95"/>
      <c r="Q21" s="98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20"/>
      <c r="AD21" s="6"/>
      <c r="AE21" s="6"/>
      <c r="AF21" s="20"/>
    </row>
    <row r="22" spans="1:35" s="3" customFormat="1" ht="27" customHeight="1">
      <c r="A22" s="31"/>
      <c r="B22" s="10"/>
      <c r="C22" s="6"/>
      <c r="D22" s="20"/>
      <c r="E22" s="20"/>
      <c r="F22" s="20"/>
      <c r="G22" s="7"/>
      <c r="H22" s="84"/>
      <c r="I22" s="84"/>
      <c r="J22" s="157"/>
      <c r="K22" s="134"/>
      <c r="L22" s="134"/>
      <c r="M22" s="134"/>
      <c r="N22" s="134"/>
      <c r="O22" s="95"/>
      <c r="P22" s="95"/>
      <c r="Q22" s="98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20"/>
      <c r="AD22" s="6"/>
      <c r="AE22" s="6"/>
      <c r="AF22" s="20"/>
    </row>
    <row r="23" spans="1:35" s="3" customFormat="1" ht="27" customHeight="1">
      <c r="A23" s="31"/>
      <c r="B23" s="10"/>
      <c r="C23" s="6"/>
      <c r="D23" s="20"/>
      <c r="E23" s="20"/>
      <c r="F23" s="20"/>
      <c r="G23" s="7"/>
      <c r="H23" s="84"/>
      <c r="I23" s="84"/>
      <c r="J23" s="157"/>
      <c r="K23" s="134"/>
      <c r="L23" s="134"/>
      <c r="M23" s="134"/>
      <c r="N23" s="134"/>
      <c r="O23" s="95"/>
      <c r="P23" s="95"/>
      <c r="Q23" s="98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20"/>
      <c r="AD23" s="6"/>
      <c r="AE23" s="6"/>
      <c r="AF23" s="20"/>
    </row>
    <row r="24" spans="1:35" s="3" customFormat="1" ht="27" customHeight="1">
      <c r="A24" s="31"/>
      <c r="B24" s="10"/>
      <c r="C24" s="6"/>
      <c r="D24" s="20"/>
      <c r="E24" s="20"/>
      <c r="F24" s="20"/>
      <c r="G24" s="7"/>
      <c r="H24" s="84"/>
      <c r="I24" s="84"/>
      <c r="J24" s="157"/>
      <c r="K24" s="134"/>
      <c r="L24" s="134"/>
      <c r="M24" s="134"/>
      <c r="N24" s="134"/>
      <c r="O24" s="95"/>
      <c r="P24" s="95"/>
      <c r="Q24" s="98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20"/>
      <c r="AD24" s="6"/>
      <c r="AE24" s="6"/>
      <c r="AF24" s="20"/>
    </row>
    <row r="25" spans="1:35" s="3" customFormat="1" ht="27" customHeight="1">
      <c r="A25" s="31"/>
      <c r="B25" s="10"/>
      <c r="C25" s="6"/>
      <c r="D25" s="20"/>
      <c r="E25" s="20"/>
      <c r="F25" s="20"/>
      <c r="G25" s="7"/>
      <c r="H25" s="84"/>
      <c r="I25" s="84"/>
      <c r="J25" s="157"/>
      <c r="K25" s="134"/>
      <c r="L25" s="134"/>
      <c r="M25" s="134"/>
      <c r="N25" s="134"/>
      <c r="O25" s="95"/>
      <c r="P25" s="95"/>
      <c r="Q25" s="98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20"/>
      <c r="AD25" s="6"/>
      <c r="AE25" s="6"/>
      <c r="AF25" s="20"/>
    </row>
    <row r="26" spans="1:35" s="3" customFormat="1" ht="27" customHeight="1">
      <c r="A26" s="31"/>
      <c r="B26" s="10"/>
      <c r="C26" s="6"/>
      <c r="D26" s="20"/>
      <c r="E26" s="20"/>
      <c r="F26" s="20"/>
      <c r="G26" s="7"/>
      <c r="H26" s="84"/>
      <c r="I26" s="84"/>
      <c r="J26" s="157"/>
      <c r="K26" s="134"/>
      <c r="L26" s="134"/>
      <c r="M26" s="134"/>
      <c r="N26" s="134"/>
      <c r="O26" s="95"/>
      <c r="P26" s="95"/>
      <c r="Q26" s="98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20"/>
      <c r="AD26" s="6"/>
      <c r="AE26" s="6"/>
      <c r="AF26" s="20"/>
    </row>
    <row r="27" spans="1:35" s="3" customFormat="1" ht="27" customHeight="1">
      <c r="A27" s="241" t="s">
        <v>24</v>
      </c>
      <c r="B27" s="242"/>
      <c r="C27" s="242"/>
      <c r="D27" s="242"/>
      <c r="E27" s="242"/>
      <c r="F27" s="242"/>
      <c r="G27" s="243"/>
      <c r="H27" s="84"/>
      <c r="I27" s="84"/>
      <c r="J27" s="157"/>
      <c r="K27" s="134"/>
      <c r="L27" s="134"/>
      <c r="M27" s="134"/>
      <c r="N27" s="134"/>
      <c r="O27" s="95"/>
      <c r="P27" s="95"/>
      <c r="Q27" s="98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20"/>
      <c r="AD27" s="6"/>
      <c r="AE27" s="6"/>
      <c r="AF27" s="20"/>
    </row>
    <row r="28" spans="1:35" s="3" customFormat="1" ht="27" customHeight="1">
      <c r="A28" s="241" t="s">
        <v>244</v>
      </c>
      <c r="B28" s="242"/>
      <c r="C28" s="242"/>
      <c r="D28" s="242"/>
      <c r="E28" s="242"/>
      <c r="F28" s="242"/>
      <c r="G28" s="243"/>
      <c r="H28" s="84"/>
      <c r="I28" s="84"/>
      <c r="J28" s="157"/>
      <c r="K28" s="134"/>
      <c r="L28" s="134"/>
      <c r="M28" s="134"/>
      <c r="N28" s="134"/>
      <c r="O28" s="95"/>
      <c r="P28" s="95"/>
      <c r="Q28" s="98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20"/>
      <c r="AD28" s="6"/>
      <c r="AE28" s="6"/>
      <c r="AF28" s="20"/>
    </row>
    <row r="29" spans="1:35" s="3" customFormat="1" ht="27" customHeight="1">
      <c r="A29" s="241" t="str">
        <f>+A3</f>
        <v>AYUNTAMIENTO Y QUE  CORRESPONDEN A LA 1RA QUINCENA DE OCTUBRE DE 2019</v>
      </c>
      <c r="B29" s="242"/>
      <c r="C29" s="242"/>
      <c r="D29" s="242"/>
      <c r="E29" s="242"/>
      <c r="F29" s="242"/>
      <c r="G29" s="243"/>
      <c r="H29" s="84"/>
      <c r="I29" s="84"/>
      <c r="J29" s="157"/>
      <c r="K29" s="134"/>
      <c r="L29" s="134"/>
      <c r="M29" s="134"/>
      <c r="N29" s="134"/>
      <c r="O29" s="95"/>
      <c r="P29" s="95"/>
      <c r="Q29" s="98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20"/>
      <c r="AD29" s="6"/>
      <c r="AE29" s="6"/>
      <c r="AF29" s="20"/>
    </row>
    <row r="30" spans="1:35" s="3" customFormat="1" ht="27" customHeight="1">
      <c r="A30" s="241" t="s">
        <v>27</v>
      </c>
      <c r="B30" s="242"/>
      <c r="C30" s="242"/>
      <c r="D30" s="242"/>
      <c r="E30" s="242"/>
      <c r="F30" s="242"/>
      <c r="G30" s="243"/>
      <c r="H30" s="84"/>
      <c r="I30" s="84"/>
      <c r="J30" s="157"/>
      <c r="K30" s="134"/>
      <c r="L30" s="134"/>
      <c r="M30" s="134"/>
      <c r="N30" s="134"/>
      <c r="O30" s="95"/>
      <c r="P30" s="95"/>
      <c r="Q30" s="98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20"/>
      <c r="AD30" s="6"/>
      <c r="AE30" s="6"/>
      <c r="AF30" s="20"/>
    </row>
    <row r="31" spans="1:35" s="3" customFormat="1" ht="27" customHeight="1">
      <c r="A31" s="31"/>
      <c r="B31" s="10"/>
      <c r="C31" s="8"/>
      <c r="D31" s="20"/>
      <c r="E31" s="20"/>
      <c r="F31" s="20"/>
      <c r="G31" s="7"/>
      <c r="H31" s="84"/>
      <c r="I31" s="84"/>
      <c r="J31" s="157"/>
      <c r="K31" s="134"/>
      <c r="L31" s="134"/>
      <c r="M31" s="134"/>
      <c r="N31" s="134"/>
      <c r="O31" s="95"/>
      <c r="P31" s="95"/>
      <c r="Q31" s="98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20"/>
      <c r="AD31" s="6"/>
      <c r="AE31" s="6"/>
      <c r="AF31" s="20"/>
    </row>
    <row r="32" spans="1:35" s="3" customFormat="1" ht="27" customHeight="1">
      <c r="A32" s="31">
        <v>1</v>
      </c>
      <c r="B32" s="10"/>
      <c r="C32" s="8" t="str">
        <f t="shared" ref="B32:C39" si="13">+M32</f>
        <v>POLICIA DE LINEA</v>
      </c>
      <c r="D32" s="20">
        <f>H32</f>
        <v>391.47533333333337</v>
      </c>
      <c r="E32" s="20">
        <f>I32</f>
        <v>40.808666666666667</v>
      </c>
      <c r="F32" s="20">
        <f t="shared" ref="F32" si="14">D32-E32</f>
        <v>350.66666666666669</v>
      </c>
      <c r="G32" s="7"/>
      <c r="H32" s="84">
        <f>+N32/15</f>
        <v>391.47533333333337</v>
      </c>
      <c r="I32" s="84">
        <f>+P32/15</f>
        <v>40.808666666666667</v>
      </c>
      <c r="J32" s="86">
        <f>+H32-I32</f>
        <v>350.66666666666669</v>
      </c>
      <c r="K32" s="142"/>
      <c r="L32" s="165" t="s">
        <v>215</v>
      </c>
      <c r="M32" s="145" t="s">
        <v>90</v>
      </c>
      <c r="N32" s="141">
        <v>5872.13</v>
      </c>
      <c r="O32" s="91"/>
      <c r="P32" s="91">
        <v>612.13</v>
      </c>
      <c r="Q32" s="98"/>
      <c r="R32" s="6"/>
      <c r="S32" s="6"/>
      <c r="T32" s="6"/>
      <c r="U32" s="6"/>
      <c r="V32" s="6"/>
      <c r="W32" s="6"/>
      <c r="X32" s="6"/>
      <c r="Y32" s="6"/>
      <c r="Z32" s="6"/>
      <c r="AA32" s="6"/>
      <c r="AB32" s="20"/>
      <c r="AC32" s="6"/>
      <c r="AD32" s="6"/>
      <c r="AE32" s="20"/>
    </row>
    <row r="33" spans="1:34" s="3" customFormat="1" ht="27" customHeight="1">
      <c r="A33" s="31">
        <v>2</v>
      </c>
      <c r="B33" s="10" t="str">
        <f t="shared" si="13"/>
        <v xml:space="preserve">CAMACHO FLORES MARIO </v>
      </c>
      <c r="C33" s="8" t="str">
        <f t="shared" si="13"/>
        <v>COMANDANTE</v>
      </c>
      <c r="D33" s="20">
        <f t="shared" ref="D33:D38" si="15">H33</f>
        <v>432.6273333333333</v>
      </c>
      <c r="E33" s="20">
        <f t="shared" ref="E33:E38" si="16">I33</f>
        <v>49.293999999999997</v>
      </c>
      <c r="F33" s="20">
        <f t="shared" ref="F33:F39" si="17">D33-E33</f>
        <v>383.33333333333331</v>
      </c>
      <c r="G33" s="7"/>
      <c r="H33" s="84">
        <f t="shared" ref="H33:H39" si="18">+N33/15</f>
        <v>432.6273333333333</v>
      </c>
      <c r="I33" s="84">
        <f t="shared" ref="I33:I39" si="19">+P33/15</f>
        <v>49.293999999999997</v>
      </c>
      <c r="J33" s="86">
        <f t="shared" ref="J33:J39" si="20">+H33-I33</f>
        <v>383.33333333333331</v>
      </c>
      <c r="K33" s="142"/>
      <c r="L33" s="165" t="s">
        <v>217</v>
      </c>
      <c r="M33" s="149" t="s">
        <v>208</v>
      </c>
      <c r="N33" s="141">
        <v>6489.41</v>
      </c>
      <c r="O33" s="91"/>
      <c r="P33" s="91">
        <v>739.41</v>
      </c>
      <c r="Q33" s="98"/>
      <c r="R33" s="6"/>
      <c r="S33" s="6"/>
      <c r="T33" s="6"/>
      <c r="U33" s="6"/>
      <c r="V33" s="6"/>
      <c r="W33" s="6"/>
      <c r="X33" s="6"/>
      <c r="Y33" s="6"/>
      <c r="Z33" s="6"/>
      <c r="AA33" s="6"/>
      <c r="AB33" s="20"/>
      <c r="AC33" s="6"/>
      <c r="AD33" s="6"/>
      <c r="AE33" s="20"/>
    </row>
    <row r="34" spans="1:34" s="3" customFormat="1" ht="27" customHeight="1">
      <c r="A34" s="31">
        <v>3</v>
      </c>
      <c r="B34" s="10" t="str">
        <f t="shared" si="13"/>
        <v xml:space="preserve">FLORES RUVALCABA ROBERTO ALEJANDRO </v>
      </c>
      <c r="C34" s="8" t="str">
        <f t="shared" si="13"/>
        <v>COMANDANTE</v>
      </c>
      <c r="D34" s="20">
        <f t="shared" si="15"/>
        <v>432.6273333333333</v>
      </c>
      <c r="E34" s="20">
        <f t="shared" si="16"/>
        <v>49.293999999999997</v>
      </c>
      <c r="F34" s="20">
        <f t="shared" si="17"/>
        <v>383.33333333333331</v>
      </c>
      <c r="G34" s="7"/>
      <c r="H34" s="84">
        <f t="shared" si="18"/>
        <v>432.6273333333333</v>
      </c>
      <c r="I34" s="84">
        <f t="shared" si="19"/>
        <v>49.293999999999997</v>
      </c>
      <c r="J34" s="86">
        <f t="shared" si="20"/>
        <v>383.33333333333331</v>
      </c>
      <c r="K34" s="142"/>
      <c r="L34" s="98" t="s">
        <v>203</v>
      </c>
      <c r="M34" s="149" t="s">
        <v>208</v>
      </c>
      <c r="N34" s="141">
        <v>6489.41</v>
      </c>
      <c r="O34" s="91"/>
      <c r="P34" s="91">
        <v>739.41</v>
      </c>
      <c r="Q34" s="98"/>
      <c r="R34" s="6"/>
      <c r="S34" s="6"/>
      <c r="T34" s="6"/>
      <c r="U34" s="6"/>
      <c r="V34" s="6"/>
      <c r="W34" s="6"/>
      <c r="X34" s="6"/>
      <c r="Y34" s="6"/>
      <c r="Z34" s="6"/>
      <c r="AA34" s="6"/>
      <c r="AB34" s="20"/>
      <c r="AC34" s="6"/>
      <c r="AD34" s="6"/>
      <c r="AE34" s="20"/>
    </row>
    <row r="35" spans="1:34" s="3" customFormat="1" ht="27" customHeight="1">
      <c r="A35" s="31">
        <v>4</v>
      </c>
      <c r="B35" s="10"/>
      <c r="C35" s="8" t="str">
        <f t="shared" si="13"/>
        <v>POLICIA DE LINEA</v>
      </c>
      <c r="D35" s="20">
        <f t="shared" si="15"/>
        <v>391.47533333333337</v>
      </c>
      <c r="E35" s="20">
        <f t="shared" si="16"/>
        <v>40.808666666666667</v>
      </c>
      <c r="F35" s="20">
        <f t="shared" si="17"/>
        <v>350.66666666666669</v>
      </c>
      <c r="G35" s="7"/>
      <c r="H35" s="84">
        <f t="shared" si="18"/>
        <v>391.47533333333337</v>
      </c>
      <c r="I35" s="84">
        <f t="shared" si="19"/>
        <v>40.808666666666667</v>
      </c>
      <c r="J35" s="86">
        <f t="shared" si="20"/>
        <v>350.66666666666669</v>
      </c>
      <c r="K35" s="142"/>
      <c r="L35" s="165" t="s">
        <v>218</v>
      </c>
      <c r="M35" s="145" t="s">
        <v>90</v>
      </c>
      <c r="N35" s="141">
        <v>5872.13</v>
      </c>
      <c r="O35" s="91"/>
      <c r="P35" s="91">
        <v>612.13</v>
      </c>
      <c r="Q35" s="98"/>
      <c r="R35" s="6"/>
      <c r="S35" s="6"/>
      <c r="T35" s="6"/>
      <c r="U35" s="6"/>
      <c r="V35" s="6"/>
      <c r="W35" s="6"/>
      <c r="X35" s="6"/>
      <c r="Y35" s="6"/>
      <c r="Z35" s="6"/>
      <c r="AA35" s="6"/>
      <c r="AB35" s="20"/>
      <c r="AC35" s="6"/>
      <c r="AD35" s="6"/>
      <c r="AE35" s="20"/>
    </row>
    <row r="36" spans="1:34" s="3" customFormat="1" ht="27" customHeight="1">
      <c r="A36" s="31">
        <v>5</v>
      </c>
      <c r="B36" s="10"/>
      <c r="C36" s="8" t="str">
        <f t="shared" si="13"/>
        <v>POLICIA DE LINEA</v>
      </c>
      <c r="D36" s="20">
        <f t="shared" si="15"/>
        <v>391.47533333333337</v>
      </c>
      <c r="E36" s="20">
        <f t="shared" si="16"/>
        <v>40.808666666666667</v>
      </c>
      <c r="F36" s="20">
        <f t="shared" si="17"/>
        <v>350.66666666666669</v>
      </c>
      <c r="G36" s="7"/>
      <c r="H36" s="84">
        <f t="shared" si="18"/>
        <v>391.47533333333337</v>
      </c>
      <c r="I36" s="84">
        <f t="shared" si="19"/>
        <v>40.808666666666667</v>
      </c>
      <c r="J36" s="86">
        <f t="shared" si="20"/>
        <v>350.66666666666669</v>
      </c>
      <c r="K36" s="142"/>
      <c r="L36" s="98" t="s">
        <v>276</v>
      </c>
      <c r="M36" s="149" t="s">
        <v>90</v>
      </c>
      <c r="N36" s="141">
        <v>5872.13</v>
      </c>
      <c r="O36" s="91"/>
      <c r="P36" s="91">
        <v>612.13</v>
      </c>
      <c r="Q36" s="98"/>
      <c r="R36" s="6"/>
      <c r="S36" s="6"/>
      <c r="T36" s="6"/>
      <c r="U36" s="6"/>
      <c r="V36" s="6"/>
      <c r="W36" s="6"/>
      <c r="X36" s="6"/>
      <c r="Y36" s="6"/>
      <c r="Z36" s="6"/>
      <c r="AA36" s="6"/>
      <c r="AB36" s="20"/>
      <c r="AC36" s="6"/>
      <c r="AD36" s="6"/>
      <c r="AE36" s="20"/>
    </row>
    <row r="37" spans="1:34" s="3" customFormat="1" ht="27" customHeight="1">
      <c r="A37" s="31">
        <v>6</v>
      </c>
      <c r="B37" s="10"/>
      <c r="C37" s="8" t="str">
        <f t="shared" si="13"/>
        <v>POLICIA DE LINEA</v>
      </c>
      <c r="D37" s="20">
        <f t="shared" si="15"/>
        <v>391.47533333333337</v>
      </c>
      <c r="E37" s="20">
        <f t="shared" si="16"/>
        <v>40.808666666666667</v>
      </c>
      <c r="F37" s="20">
        <f t="shared" si="17"/>
        <v>350.66666666666669</v>
      </c>
      <c r="G37" s="7"/>
      <c r="H37" s="84">
        <f t="shared" si="18"/>
        <v>391.47533333333337</v>
      </c>
      <c r="I37" s="84">
        <f t="shared" si="19"/>
        <v>40.808666666666667</v>
      </c>
      <c r="J37" s="86">
        <f t="shared" si="20"/>
        <v>350.66666666666669</v>
      </c>
      <c r="K37" s="142"/>
      <c r="L37" s="165" t="s">
        <v>219</v>
      </c>
      <c r="M37" s="145" t="s">
        <v>90</v>
      </c>
      <c r="N37" s="141">
        <v>5872.13</v>
      </c>
      <c r="O37" s="91"/>
      <c r="P37" s="91">
        <v>612.13</v>
      </c>
      <c r="Q37" s="98"/>
      <c r="R37" s="6"/>
      <c r="S37" s="6"/>
      <c r="T37" s="6"/>
      <c r="U37" s="6"/>
      <c r="V37" s="6"/>
      <c r="W37" s="6"/>
      <c r="X37" s="6"/>
      <c r="Y37" s="6"/>
      <c r="Z37" s="6"/>
      <c r="AA37" s="6"/>
      <c r="AB37" s="20"/>
      <c r="AC37" s="6"/>
      <c r="AD37" s="6"/>
      <c r="AE37" s="20"/>
    </row>
    <row r="38" spans="1:34" s="3" customFormat="1" ht="27" customHeight="1">
      <c r="A38" s="31">
        <v>7</v>
      </c>
      <c r="B38" s="10"/>
      <c r="C38" s="8" t="str">
        <f t="shared" si="13"/>
        <v>POLICIA DE LINEA</v>
      </c>
      <c r="D38" s="20">
        <f t="shared" si="15"/>
        <v>391.47533333333337</v>
      </c>
      <c r="E38" s="20">
        <f t="shared" si="16"/>
        <v>40.808666666666667</v>
      </c>
      <c r="F38" s="20">
        <f t="shared" si="17"/>
        <v>350.66666666666669</v>
      </c>
      <c r="G38" s="7"/>
      <c r="H38" s="84">
        <f t="shared" si="18"/>
        <v>391.47533333333337</v>
      </c>
      <c r="I38" s="84">
        <f t="shared" si="19"/>
        <v>40.808666666666667</v>
      </c>
      <c r="J38" s="86">
        <f t="shared" si="20"/>
        <v>350.66666666666669</v>
      </c>
      <c r="K38" s="142"/>
      <c r="L38" s="165" t="s">
        <v>162</v>
      </c>
      <c r="M38" s="148" t="s">
        <v>90</v>
      </c>
      <c r="N38" s="141">
        <v>5872.13</v>
      </c>
      <c r="O38" s="91"/>
      <c r="P38" s="91">
        <v>612.13</v>
      </c>
      <c r="Q38" s="98"/>
      <c r="R38" s="6"/>
      <c r="S38" s="6"/>
      <c r="T38" s="6"/>
      <c r="U38" s="6"/>
      <c r="V38" s="6"/>
      <c r="W38" s="6"/>
      <c r="X38" s="6"/>
      <c r="Y38" s="6"/>
      <c r="Z38" s="6"/>
      <c r="AA38" s="6"/>
      <c r="AB38" s="20"/>
      <c r="AC38" s="6"/>
      <c r="AD38" s="6"/>
      <c r="AE38" s="20"/>
    </row>
    <row r="39" spans="1:34" s="3" customFormat="1" ht="27" customHeight="1">
      <c r="A39" s="31">
        <v>8</v>
      </c>
      <c r="B39" s="10"/>
      <c r="C39" s="8" t="str">
        <f t="shared" si="13"/>
        <v>POLICIA DE LINEA</v>
      </c>
      <c r="D39" s="20">
        <f>H39*2</f>
        <v>782.95066666666673</v>
      </c>
      <c r="E39" s="20">
        <f>I39*2</f>
        <v>81.617333333333335</v>
      </c>
      <c r="F39" s="20">
        <f t="shared" si="17"/>
        <v>701.33333333333337</v>
      </c>
      <c r="G39" s="7"/>
      <c r="H39" s="84">
        <f t="shared" si="18"/>
        <v>391.47533333333337</v>
      </c>
      <c r="I39" s="84">
        <f t="shared" si="19"/>
        <v>40.808666666666667</v>
      </c>
      <c r="J39" s="86">
        <f t="shared" si="20"/>
        <v>350.66666666666669</v>
      </c>
      <c r="K39" s="142"/>
      <c r="L39" s="165" t="s">
        <v>164</v>
      </c>
      <c r="M39" s="148" t="s">
        <v>90</v>
      </c>
      <c r="N39" s="141">
        <v>5872.13</v>
      </c>
      <c r="O39" s="91"/>
      <c r="P39" s="91">
        <v>612.13</v>
      </c>
      <c r="Q39" s="98"/>
      <c r="R39" s="6"/>
      <c r="S39" s="6"/>
      <c r="T39" s="6"/>
      <c r="U39" s="6"/>
      <c r="V39" s="6"/>
      <c r="W39" s="6"/>
      <c r="X39" s="6"/>
      <c r="Y39" s="6"/>
      <c r="Z39" s="6"/>
      <c r="AA39" s="6"/>
      <c r="AB39" s="20"/>
      <c r="AC39" s="6"/>
      <c r="AD39" s="6"/>
      <c r="AE39" s="20"/>
    </row>
    <row r="40" spans="1:34" s="3" customFormat="1" ht="27" customHeight="1">
      <c r="A40" s="31"/>
      <c r="B40" s="10"/>
      <c r="C40" s="8"/>
      <c r="D40" s="20"/>
      <c r="E40" s="20"/>
      <c r="F40" s="20"/>
      <c r="G40" s="7"/>
      <c r="H40" s="84"/>
      <c r="I40" s="84"/>
      <c r="J40" s="86"/>
      <c r="K40" s="142"/>
      <c r="L40" s="98"/>
      <c r="M40" s="134"/>
      <c r="N40" s="134"/>
      <c r="O40" s="95"/>
      <c r="P40" s="98"/>
      <c r="Q40" s="98"/>
      <c r="R40" s="6"/>
      <c r="S40" s="6"/>
      <c r="T40" s="6"/>
      <c r="U40" s="6"/>
      <c r="V40" s="6"/>
      <c r="W40" s="6"/>
      <c r="X40" s="6"/>
      <c r="Y40" s="6"/>
      <c r="Z40" s="6"/>
      <c r="AA40" s="6"/>
      <c r="AB40" s="20"/>
      <c r="AC40" s="6"/>
      <c r="AD40" s="6"/>
      <c r="AE40" s="20"/>
    </row>
    <row r="41" spans="1:34" s="3" customFormat="1" ht="27" customHeight="1">
      <c r="A41" s="31"/>
      <c r="B41" s="10"/>
      <c r="C41" s="67" t="s">
        <v>165</v>
      </c>
      <c r="D41" s="63">
        <f>SUM(D32:D40)</f>
        <v>3605.5819999999999</v>
      </c>
      <c r="E41" s="63">
        <f>SUM(E32:E40)</f>
        <v>384.24866666666674</v>
      </c>
      <c r="F41" s="63">
        <f>SUM(F32:F40)</f>
        <v>3221.3333333333335</v>
      </c>
      <c r="G41" s="7"/>
      <c r="H41" s="84"/>
      <c r="I41" s="84"/>
      <c r="J41" s="157"/>
      <c r="K41" s="134"/>
      <c r="L41" s="134"/>
      <c r="M41" s="134"/>
      <c r="N41" s="97"/>
      <c r="O41" s="95"/>
      <c r="P41" s="95"/>
      <c r="Q41" s="98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20"/>
      <c r="AD41" s="6"/>
      <c r="AE41" s="6"/>
      <c r="AF41" s="20"/>
    </row>
    <row r="42" spans="1:34" s="3" customFormat="1" ht="27" customHeight="1">
      <c r="A42" s="31"/>
      <c r="B42" s="10"/>
      <c r="C42" s="6"/>
      <c r="D42" s="20"/>
      <c r="E42" s="20"/>
      <c r="F42" s="20"/>
      <c r="G42" s="7"/>
      <c r="H42" s="84"/>
      <c r="I42" s="84"/>
      <c r="J42" s="157"/>
      <c r="K42" s="134"/>
      <c r="L42" s="134"/>
      <c r="M42" s="134"/>
      <c r="N42" s="97"/>
      <c r="O42" s="95"/>
      <c r="P42" s="95"/>
      <c r="Q42" s="98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20"/>
      <c r="AD42" s="6"/>
      <c r="AE42" s="6"/>
      <c r="AF42" s="20"/>
    </row>
    <row r="43" spans="1:34" s="3" customFormat="1" ht="27" customHeight="1">
      <c r="A43" s="31"/>
      <c r="B43" s="10" t="s">
        <v>293</v>
      </c>
      <c r="C43" s="6"/>
      <c r="D43" s="20"/>
      <c r="E43" s="20"/>
      <c r="F43" s="20"/>
      <c r="G43" s="7"/>
      <c r="H43" s="84"/>
      <c r="I43" s="84"/>
      <c r="J43" s="157"/>
      <c r="K43" s="134"/>
      <c r="L43" s="134"/>
      <c r="M43" s="134"/>
      <c r="N43" s="134"/>
      <c r="O43" s="95"/>
      <c r="P43" s="97"/>
      <c r="Q43" s="98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20"/>
      <c r="AE43" s="6"/>
      <c r="AF43" s="6"/>
      <c r="AG43" s="20"/>
    </row>
    <row r="44" spans="1:34" s="3" customFormat="1" ht="27" customHeight="1">
      <c r="A44" s="31"/>
      <c r="B44" s="10" t="str">
        <f>+B21</f>
        <v>IXTLAHUACAN DEL RIO JALISCO A 15 DE OCTUBRE DE 2019</v>
      </c>
      <c r="C44" s="6"/>
      <c r="D44" s="20"/>
      <c r="E44" s="20"/>
      <c r="F44" s="20"/>
      <c r="G44" s="7"/>
      <c r="H44" s="84"/>
      <c r="I44" s="84"/>
      <c r="J44" s="157"/>
      <c r="K44" s="134"/>
      <c r="L44" s="134"/>
      <c r="M44" s="134"/>
      <c r="N44" s="134"/>
      <c r="O44" s="95"/>
      <c r="P44" s="97"/>
      <c r="Q44" s="98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20"/>
      <c r="AE44" s="6"/>
      <c r="AF44" s="6"/>
      <c r="AG44" s="20"/>
    </row>
    <row r="45" spans="1:34" s="3" customFormat="1" ht="27" customHeight="1">
      <c r="A45" s="31"/>
      <c r="B45" s="10"/>
      <c r="C45" s="6"/>
      <c r="D45" s="20"/>
      <c r="E45" s="20"/>
      <c r="F45" s="20"/>
      <c r="G45" s="7"/>
      <c r="H45" s="84"/>
      <c r="I45" s="84"/>
      <c r="J45" s="157"/>
      <c r="K45" s="134"/>
      <c r="L45" s="134"/>
      <c r="M45" s="134"/>
      <c r="N45" s="134"/>
      <c r="O45" s="95"/>
      <c r="P45" s="97"/>
      <c r="Q45" s="98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20"/>
      <c r="AE45" s="6"/>
      <c r="AF45" s="6"/>
      <c r="AG45" s="20"/>
    </row>
    <row r="46" spans="1:34" s="3" customFormat="1" ht="27" customHeight="1">
      <c r="A46" s="31"/>
      <c r="B46" s="10"/>
      <c r="C46" s="6"/>
      <c r="D46" s="20"/>
      <c r="E46" s="20"/>
      <c r="F46" s="20"/>
      <c r="G46" s="7"/>
      <c r="H46" s="84"/>
      <c r="I46" s="84"/>
      <c r="J46" s="157"/>
      <c r="K46" s="134"/>
      <c r="L46" s="134"/>
      <c r="M46" s="134"/>
      <c r="N46" s="134"/>
      <c r="O46" s="95"/>
      <c r="P46" s="97"/>
      <c r="Q46" s="98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20"/>
      <c r="AE46" s="6"/>
      <c r="AF46" s="6"/>
      <c r="AG46" s="20"/>
    </row>
    <row r="47" spans="1:34" s="3" customFormat="1" ht="27" customHeight="1">
      <c r="A47" s="31"/>
      <c r="B47" s="10"/>
      <c r="C47" s="6"/>
      <c r="D47" s="20"/>
      <c r="E47" s="20"/>
      <c r="F47" s="20"/>
      <c r="G47" s="7"/>
      <c r="H47" s="84"/>
      <c r="I47" s="84"/>
      <c r="J47" s="157"/>
      <c r="K47" s="134"/>
      <c r="L47" s="134"/>
      <c r="M47" s="134"/>
      <c r="N47" s="134"/>
      <c r="O47" s="97"/>
      <c r="P47" s="134"/>
      <c r="Q47" s="95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20"/>
      <c r="AF47" s="6"/>
      <c r="AG47" s="6"/>
      <c r="AH47" s="20"/>
    </row>
    <row r="48" spans="1:34" s="3" customFormat="1" ht="27" customHeight="1">
      <c r="A48" s="9"/>
      <c r="B48" s="10"/>
      <c r="C48" s="26"/>
      <c r="D48" s="4"/>
      <c r="E48" s="4"/>
      <c r="F48" s="4"/>
      <c r="G48" s="7"/>
      <c r="H48" s="84"/>
      <c r="I48" s="91"/>
      <c r="J48" s="157"/>
      <c r="K48" s="87"/>
      <c r="L48" s="110"/>
      <c r="M48" s="118"/>
      <c r="N48" s="118"/>
      <c r="O48" s="131"/>
      <c r="P48" s="118"/>
      <c r="Q48" s="95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20"/>
      <c r="AF48" s="6"/>
      <c r="AG48" s="6"/>
      <c r="AH48" s="20"/>
    </row>
    <row r="49" spans="1:34" s="3" customFormat="1" ht="27" customHeight="1">
      <c r="A49" s="9"/>
      <c r="B49" s="10"/>
      <c r="C49" s="26"/>
      <c r="D49" s="32"/>
      <c r="E49" s="32"/>
      <c r="F49" s="32"/>
      <c r="G49" s="7"/>
      <c r="H49" s="84"/>
      <c r="I49" s="91"/>
      <c r="J49" s="157"/>
      <c r="K49" s="87"/>
      <c r="L49" s="110"/>
      <c r="M49" s="118"/>
      <c r="N49" s="118"/>
      <c r="O49" s="131"/>
      <c r="P49" s="118"/>
      <c r="Q49" s="95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20"/>
      <c r="AF49" s="6"/>
      <c r="AG49" s="6"/>
      <c r="AH49" s="20"/>
    </row>
    <row r="50" spans="1:34" s="3" customFormat="1" ht="27" customHeight="1">
      <c r="A50" s="9"/>
      <c r="C50" s="30"/>
      <c r="D50" s="4"/>
      <c r="E50" s="4"/>
      <c r="F50" s="4"/>
      <c r="G50" s="7" t="s">
        <v>18</v>
      </c>
      <c r="H50" s="84"/>
      <c r="I50" s="91"/>
      <c r="J50" s="157">
        <f>SUM(H50-I50)</f>
        <v>0</v>
      </c>
      <c r="K50" s="87"/>
      <c r="L50" s="110"/>
      <c r="M50" s="118"/>
      <c r="N50" s="120"/>
      <c r="O50" s="131"/>
      <c r="P50" s="131"/>
      <c r="Q50" s="95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20"/>
      <c r="AF50" s="6"/>
      <c r="AG50" s="6"/>
      <c r="AH50" s="20"/>
    </row>
    <row r="51" spans="1:34" s="3" customFormat="1" ht="27" customHeight="1">
      <c r="A51" s="9"/>
      <c r="C51" s="26"/>
      <c r="D51" s="4"/>
      <c r="E51" s="4"/>
      <c r="F51" s="4"/>
      <c r="G51" s="7" t="s">
        <v>18</v>
      </c>
      <c r="H51" s="84"/>
      <c r="I51" s="91"/>
      <c r="J51" s="157">
        <f>SUM(H51-I51)</f>
        <v>0</v>
      </c>
      <c r="K51" s="87"/>
      <c r="L51" s="109"/>
      <c r="M51" s="95"/>
      <c r="N51" s="117"/>
      <c r="O51" s="131"/>
      <c r="P51" s="131"/>
      <c r="Q51" s="9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20"/>
      <c r="AF51" s="6"/>
      <c r="AG51" s="6"/>
      <c r="AH51" s="20"/>
    </row>
    <row r="52" spans="1:34" s="3" customFormat="1" ht="27" customHeight="1">
      <c r="A52" s="9"/>
      <c r="B52" s="10"/>
      <c r="C52" s="26"/>
      <c r="D52" s="28"/>
      <c r="E52" s="28"/>
      <c r="F52" s="21"/>
      <c r="G52" s="7" t="s">
        <v>18</v>
      </c>
      <c r="H52" s="91"/>
      <c r="I52" s="91"/>
      <c r="J52" s="157"/>
      <c r="K52" s="98"/>
      <c r="L52" s="98"/>
      <c r="M52" s="95"/>
      <c r="N52" s="117"/>
      <c r="O52" s="131"/>
      <c r="P52" s="131"/>
      <c r="Q52" s="95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20"/>
      <c r="AF52" s="6"/>
      <c r="AG52" s="6"/>
      <c r="AH52" s="20"/>
    </row>
    <row r="60" spans="1:34" ht="27" customHeight="1">
      <c r="D60" s="20"/>
      <c r="E60" s="20"/>
      <c r="F60" s="20"/>
    </row>
    <row r="61" spans="1:34" ht="27" customHeight="1">
      <c r="D61" s="20"/>
      <c r="E61" s="20"/>
      <c r="F61" s="20"/>
    </row>
    <row r="62" spans="1:34" ht="27" customHeight="1">
      <c r="D62" s="20"/>
      <c r="E62" s="20"/>
      <c r="F62" s="20"/>
    </row>
    <row r="63" spans="1:34" ht="27" customHeight="1">
      <c r="D63" s="20"/>
      <c r="E63" s="20"/>
      <c r="F63" s="20"/>
    </row>
    <row r="64" spans="1:34" ht="27" customHeight="1">
      <c r="C64" s="62"/>
      <c r="D64" s="63"/>
      <c r="E64" s="63"/>
      <c r="F64" s="63"/>
    </row>
  </sheetData>
  <mergeCells count="8">
    <mergeCell ref="A29:G29"/>
    <mergeCell ref="A30:G30"/>
    <mergeCell ref="A1:G1"/>
    <mergeCell ref="A2:G2"/>
    <mergeCell ref="A3:G3"/>
    <mergeCell ref="A4:G4"/>
    <mergeCell ref="A27:G27"/>
    <mergeCell ref="A28:G28"/>
  </mergeCells>
  <pageMargins left="0.23622047244094491" right="0.23622047244094491" top="0.74803149606299213" bottom="0.74803149606299213" header="0.31496062992125984" footer="0.31496062992125984"/>
  <pageSetup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8"/>
  <sheetViews>
    <sheetView zoomScale="80" zoomScaleNormal="80" workbookViewId="0">
      <selection activeCell="B67" sqref="B67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42.42578125" style="30" bestFit="1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37" style="6" customWidth="1"/>
    <col min="8" max="8" width="11.5703125" style="84" bestFit="1" customWidth="1"/>
    <col min="9" max="9" width="9.5703125" style="91" customWidth="1"/>
    <col min="10" max="10" width="17.5703125" style="157" customWidth="1"/>
    <col min="11" max="11" width="16.7109375" style="87" customWidth="1"/>
    <col min="12" max="12" width="23.42578125" style="109" customWidth="1"/>
    <col min="13" max="13" width="9.7109375" style="95" customWidth="1"/>
    <col min="14" max="14" width="10.140625" style="117" bestFit="1" customWidth="1"/>
    <col min="15" max="15" width="8" style="131" bestFit="1" customWidth="1"/>
    <col min="16" max="16" width="9.140625" style="131" bestFit="1" customWidth="1"/>
    <col min="17" max="17" width="11.7109375" style="95" customWidth="1"/>
    <col min="18" max="18" width="6.85546875" style="6" customWidth="1"/>
    <col min="19" max="19" width="13.85546875" style="6" customWidth="1"/>
    <col min="20" max="20" width="11.7109375" style="6" customWidth="1"/>
    <col min="21" max="21" width="43.42578125" style="6" customWidth="1"/>
    <col min="22" max="30" width="11.7109375" style="6" customWidth="1"/>
    <col min="31" max="31" width="11.7109375" style="20" customWidth="1"/>
    <col min="32" max="33" width="11.7109375" style="6" customWidth="1"/>
    <col min="34" max="34" width="11.7109375" style="20" customWidth="1"/>
    <col min="35" max="35" width="11.7109375" style="6" customWidth="1"/>
    <col min="36" max="36" width="2.28515625" style="6" customWidth="1"/>
    <col min="37" max="37" width="15.5703125" style="6" customWidth="1"/>
    <col min="38" max="38" width="11.42578125" style="6" customWidth="1"/>
    <col min="39" max="39" width="11.42578125" style="6"/>
    <col min="40" max="40" width="11.42578125" style="6" customWidth="1"/>
    <col min="41" max="41" width="42.28515625" style="6" customWidth="1"/>
    <col min="42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153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269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s="3" customFormat="1" ht="27" customHeight="1">
      <c r="A7" s="31">
        <v>1</v>
      </c>
      <c r="B7" s="8" t="str">
        <f t="shared" ref="B7:C7" si="0">+L7</f>
        <v xml:space="preserve">PINTO GONNZALEZ L.N MARIA DE LA LUZ  </v>
      </c>
      <c r="C7" s="6" t="str">
        <f t="shared" si="0"/>
        <v>JEFE DE DEPARTAMENTO DEL REGISTRO CIVIL</v>
      </c>
      <c r="D7" s="20">
        <f>H7</f>
        <v>364</v>
      </c>
      <c r="E7" s="20">
        <f>I7</f>
        <v>34.64</v>
      </c>
      <c r="F7" s="20">
        <f t="shared" ref="F7" si="1">D7-E7</f>
        <v>329.36</v>
      </c>
      <c r="G7" s="7"/>
      <c r="H7" s="84">
        <f>364*1</f>
        <v>364</v>
      </c>
      <c r="I7" s="91">
        <f>34.64*1</f>
        <v>34.64</v>
      </c>
      <c r="J7" s="86">
        <f t="shared" ref="J7" si="2">SUM(H7-I7)</f>
        <v>329.36</v>
      </c>
      <c r="K7" s="142"/>
      <c r="L7" s="98" t="s">
        <v>155</v>
      </c>
      <c r="M7" s="148" t="s">
        <v>26</v>
      </c>
      <c r="N7" s="134">
        <v>8714.74</v>
      </c>
      <c r="O7" s="134">
        <v>0</v>
      </c>
      <c r="P7" s="97">
        <v>1214.74</v>
      </c>
      <c r="Q7" s="95"/>
      <c r="R7" s="2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20"/>
      <c r="AG7" s="6"/>
      <c r="AH7" s="6"/>
      <c r="AI7" s="20"/>
    </row>
    <row r="8" spans="1:35" s="3" customFormat="1" ht="27" customHeight="1">
      <c r="A8" s="31">
        <v>2</v>
      </c>
      <c r="B8" s="8" t="str">
        <f t="shared" ref="B8:B23" si="3">+L8</f>
        <v xml:space="preserve">ALVAREZ DEL CASTILLO SANCHEZ JORGE ENRIQUE </v>
      </c>
      <c r="C8" s="6" t="str">
        <f t="shared" ref="C8:C23" si="4">+M8</f>
        <v>CHOFER DE CAMION ESCOLAR</v>
      </c>
      <c r="D8" s="20">
        <f>H8*3.68</f>
        <v>1090.6784</v>
      </c>
      <c r="E8" s="20">
        <f>I8*3.68+0.53</f>
        <v>90.677733333333336</v>
      </c>
      <c r="F8" s="20">
        <f t="shared" ref="F8:F23" si="5">D8-E8</f>
        <v>1000.0006666666667</v>
      </c>
      <c r="G8" s="24"/>
      <c r="H8" s="84">
        <f t="shared" ref="H8:H23" si="6">+N8/15</f>
        <v>296.38</v>
      </c>
      <c r="I8" s="84">
        <f t="shared" ref="I8:I23" si="7">+P8/15</f>
        <v>24.496666666666666</v>
      </c>
      <c r="J8" s="157">
        <f t="shared" ref="J8:J23" si="8">+H8-I8</f>
        <v>271.88333333333333</v>
      </c>
      <c r="K8" s="142"/>
      <c r="L8" s="98" t="s">
        <v>127</v>
      </c>
      <c r="M8" s="143" t="s">
        <v>128</v>
      </c>
      <c r="N8" s="144">
        <v>4445.7</v>
      </c>
      <c r="O8" s="97">
        <v>0</v>
      </c>
      <c r="P8" s="97">
        <v>367.45</v>
      </c>
      <c r="Q8" s="95"/>
      <c r="R8" s="2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6"/>
      <c r="AH8" s="6"/>
      <c r="AI8" s="20"/>
    </row>
    <row r="9" spans="1:35" s="3" customFormat="1" ht="27" customHeight="1">
      <c r="A9" s="31">
        <v>3</v>
      </c>
      <c r="B9" s="8" t="str">
        <f t="shared" si="3"/>
        <v xml:space="preserve">BARCENAS AVILA ENRIQUE </v>
      </c>
      <c r="C9" s="6" t="str">
        <f t="shared" si="4"/>
        <v xml:space="preserve">CHOFER  DE CAMION DE BASURA </v>
      </c>
      <c r="D9" s="20">
        <f t="shared" ref="D9:D22" si="9">H9</f>
        <v>244.48266666666666</v>
      </c>
      <c r="E9" s="20">
        <f t="shared" ref="E9:E22" si="10">I9</f>
        <v>11.149333333333335</v>
      </c>
      <c r="F9" s="20">
        <f t="shared" si="5"/>
        <v>233.33333333333331</v>
      </c>
      <c r="G9" s="24"/>
      <c r="H9" s="84">
        <f t="shared" si="6"/>
        <v>244.48266666666666</v>
      </c>
      <c r="I9" s="84">
        <f t="shared" si="7"/>
        <v>11.149333333333335</v>
      </c>
      <c r="J9" s="157">
        <f t="shared" si="8"/>
        <v>233.33333333333331</v>
      </c>
      <c r="K9" s="142"/>
      <c r="L9" s="98" t="s">
        <v>129</v>
      </c>
      <c r="M9" s="143" t="s">
        <v>130</v>
      </c>
      <c r="N9" s="144">
        <v>3667.24</v>
      </c>
      <c r="O9" s="97">
        <v>0</v>
      </c>
      <c r="P9" s="97">
        <v>167.24</v>
      </c>
      <c r="Q9" s="95"/>
      <c r="R9" s="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0"/>
      <c r="AG9" s="6"/>
      <c r="AH9" s="6"/>
      <c r="AI9" s="20"/>
    </row>
    <row r="10" spans="1:35" s="3" customFormat="1" ht="27" customHeight="1">
      <c r="A10" s="31">
        <v>4</v>
      </c>
      <c r="B10" s="8" t="str">
        <f t="shared" si="3"/>
        <v xml:space="preserve">CARRILLO VILLALOBOS ISA </v>
      </c>
      <c r="C10" s="6" t="str">
        <f t="shared" si="4"/>
        <v>BASURA</v>
      </c>
      <c r="D10" s="20">
        <f t="shared" si="9"/>
        <v>184.87</v>
      </c>
      <c r="E10" s="20">
        <f t="shared" si="10"/>
        <v>2.0960000000000001</v>
      </c>
      <c r="F10" s="20">
        <f t="shared" si="5"/>
        <v>182.774</v>
      </c>
      <c r="G10" s="24"/>
      <c r="H10" s="84">
        <f t="shared" si="6"/>
        <v>184.87</v>
      </c>
      <c r="I10" s="84">
        <f t="shared" si="7"/>
        <v>2.0960000000000001</v>
      </c>
      <c r="J10" s="157">
        <f t="shared" si="8"/>
        <v>182.774</v>
      </c>
      <c r="K10" s="142"/>
      <c r="L10" s="98" t="s">
        <v>132</v>
      </c>
      <c r="M10" s="143" t="s">
        <v>133</v>
      </c>
      <c r="N10" s="144">
        <v>2773.05</v>
      </c>
      <c r="O10" s="97">
        <v>0</v>
      </c>
      <c r="P10" s="97">
        <v>31.44</v>
      </c>
      <c r="Q10" s="95"/>
      <c r="R10" s="2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0"/>
      <c r="AG10" s="6"/>
      <c r="AH10" s="6"/>
      <c r="AI10" s="20"/>
    </row>
    <row r="11" spans="1:35" s="3" customFormat="1" ht="27" customHeight="1">
      <c r="A11" s="31">
        <v>5</v>
      </c>
      <c r="B11" s="8" t="str">
        <f t="shared" si="3"/>
        <v xml:space="preserve">CORONA OLVERA SALVADOR </v>
      </c>
      <c r="C11" s="6" t="str">
        <f t="shared" si="4"/>
        <v>CHOFER DE CAMION ESCOLAR</v>
      </c>
      <c r="D11" s="20">
        <f>H11*6.201</f>
        <v>2214.9971999999998</v>
      </c>
      <c r="E11" s="20">
        <f>I11*6.201+0.03</f>
        <v>214.99386600000003</v>
      </c>
      <c r="F11" s="20">
        <f t="shared" si="5"/>
        <v>2000.0033339999998</v>
      </c>
      <c r="G11" s="24"/>
      <c r="H11" s="84">
        <f t="shared" si="6"/>
        <v>357.2</v>
      </c>
      <c r="I11" s="84">
        <f t="shared" si="7"/>
        <v>34.666000000000004</v>
      </c>
      <c r="J11" s="157">
        <f t="shared" si="8"/>
        <v>322.53399999999999</v>
      </c>
      <c r="K11" s="142"/>
      <c r="L11" s="98" t="s">
        <v>134</v>
      </c>
      <c r="M11" s="143" t="s">
        <v>128</v>
      </c>
      <c r="N11" s="144">
        <v>5358</v>
      </c>
      <c r="O11" s="97">
        <v>0</v>
      </c>
      <c r="P11" s="97">
        <v>519.99</v>
      </c>
      <c r="Q11" s="95"/>
      <c r="R11" s="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0"/>
      <c r="AG11" s="6"/>
      <c r="AH11" s="6"/>
      <c r="AI11" s="20"/>
    </row>
    <row r="12" spans="1:35" s="3" customFormat="1" ht="27" customHeight="1">
      <c r="A12" s="31">
        <v>6</v>
      </c>
      <c r="B12" s="8" t="str">
        <f t="shared" si="3"/>
        <v xml:space="preserve">DIAZ SALDAÑA TOBIAS </v>
      </c>
      <c r="C12" s="6" t="str">
        <f t="shared" si="4"/>
        <v>BASURA</v>
      </c>
      <c r="D12" s="20">
        <f t="shared" si="9"/>
        <v>184.87</v>
      </c>
      <c r="E12" s="20">
        <f t="shared" si="10"/>
        <v>2.0960000000000001</v>
      </c>
      <c r="F12" s="20">
        <f t="shared" si="5"/>
        <v>182.774</v>
      </c>
      <c r="G12" s="24"/>
      <c r="H12" s="84">
        <f t="shared" si="6"/>
        <v>184.87</v>
      </c>
      <c r="I12" s="84">
        <f t="shared" si="7"/>
        <v>2.0960000000000001</v>
      </c>
      <c r="J12" s="157">
        <f t="shared" si="8"/>
        <v>182.774</v>
      </c>
      <c r="K12" s="142"/>
      <c r="L12" s="98" t="s">
        <v>136</v>
      </c>
      <c r="M12" s="143" t="s">
        <v>133</v>
      </c>
      <c r="N12" s="144">
        <v>2773.05</v>
      </c>
      <c r="O12" s="97">
        <v>0</v>
      </c>
      <c r="P12" s="97">
        <v>31.44</v>
      </c>
      <c r="Q12" s="95"/>
      <c r="R12" s="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0"/>
      <c r="AG12" s="6"/>
      <c r="AH12" s="6"/>
      <c r="AI12" s="20"/>
    </row>
    <row r="13" spans="1:35" s="3" customFormat="1" ht="27" customHeight="1">
      <c r="A13" s="31">
        <v>7</v>
      </c>
      <c r="B13" s="8" t="str">
        <f t="shared" si="3"/>
        <v xml:space="preserve">DURAN IBARRA CRISTINA </v>
      </c>
      <c r="C13" s="6" t="str">
        <f t="shared" si="4"/>
        <v>AUXILIAR DE INTENDENCIA B</v>
      </c>
      <c r="D13" s="20">
        <f>H13*4.75</f>
        <v>881.1155</v>
      </c>
      <c r="E13" s="20">
        <f>I13*4.75</f>
        <v>10.282166666666667</v>
      </c>
      <c r="F13" s="20">
        <f t="shared" si="5"/>
        <v>870.83333333333337</v>
      </c>
      <c r="G13" s="24"/>
      <c r="H13" s="84">
        <f t="shared" si="6"/>
        <v>185.49799999999999</v>
      </c>
      <c r="I13" s="84">
        <f t="shared" si="7"/>
        <v>2.1646666666666667</v>
      </c>
      <c r="J13" s="157">
        <f t="shared" si="8"/>
        <v>183.33333333333331</v>
      </c>
      <c r="K13" s="142"/>
      <c r="L13" s="98" t="s">
        <v>175</v>
      </c>
      <c r="M13" s="143" t="s">
        <v>177</v>
      </c>
      <c r="N13" s="144">
        <v>2782.47</v>
      </c>
      <c r="O13" s="97">
        <v>0</v>
      </c>
      <c r="P13" s="97">
        <v>32.47</v>
      </c>
      <c r="Q13" s="95"/>
      <c r="R13" s="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0"/>
      <c r="AG13" s="6"/>
      <c r="AH13" s="6"/>
      <c r="AI13" s="20"/>
    </row>
    <row r="14" spans="1:35" s="3" customFormat="1" ht="27" customHeight="1">
      <c r="A14" s="31">
        <v>8</v>
      </c>
      <c r="B14" s="8" t="str">
        <f t="shared" si="3"/>
        <v xml:space="preserve">GOMEZ LOZA SANTIAGO </v>
      </c>
      <c r="C14" s="6" t="str">
        <f t="shared" si="4"/>
        <v>AYUDANTE SIST. AGUA</v>
      </c>
      <c r="D14" s="20">
        <f>H14*2</f>
        <v>539.86666666666667</v>
      </c>
      <c r="E14" s="20">
        <f>I14*2</f>
        <v>42.344000000000001</v>
      </c>
      <c r="F14" s="20">
        <f t="shared" si="5"/>
        <v>497.52266666666668</v>
      </c>
      <c r="G14" s="24"/>
      <c r="H14" s="84">
        <f t="shared" si="6"/>
        <v>269.93333333333334</v>
      </c>
      <c r="I14" s="84">
        <f t="shared" si="7"/>
        <v>21.172000000000001</v>
      </c>
      <c r="J14" s="157">
        <f t="shared" si="8"/>
        <v>248.76133333333334</v>
      </c>
      <c r="K14" s="142"/>
      <c r="L14" s="98" t="s">
        <v>182</v>
      </c>
      <c r="M14" s="143" t="s">
        <v>183</v>
      </c>
      <c r="N14" s="144">
        <v>4049</v>
      </c>
      <c r="O14" s="97">
        <v>0</v>
      </c>
      <c r="P14" s="97">
        <v>317.58</v>
      </c>
      <c r="Q14" s="95"/>
      <c r="R14" s="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0"/>
      <c r="AG14" s="6"/>
      <c r="AH14" s="6"/>
      <c r="AI14" s="20"/>
    </row>
    <row r="15" spans="1:35" s="3" customFormat="1" ht="27" customHeight="1">
      <c r="A15" s="31">
        <v>9</v>
      </c>
      <c r="B15" s="8" t="str">
        <f t="shared" si="3"/>
        <v xml:space="preserve">GONZALEZ LIMON JOSE CARLOS </v>
      </c>
      <c r="C15" s="6" t="str">
        <f t="shared" si="4"/>
        <v>UNIDAD DE REHABILITACION DE ESCUELAS</v>
      </c>
      <c r="D15" s="20">
        <f>H15*2.875</f>
        <v>702.88766666666663</v>
      </c>
      <c r="E15" s="20">
        <f>I15*2.875</f>
        <v>32.054333333333339</v>
      </c>
      <c r="F15" s="20">
        <f t="shared" si="5"/>
        <v>670.83333333333326</v>
      </c>
      <c r="G15" s="24"/>
      <c r="H15" s="84">
        <f t="shared" si="6"/>
        <v>244.48266666666666</v>
      </c>
      <c r="I15" s="84">
        <f t="shared" si="7"/>
        <v>11.149333333333335</v>
      </c>
      <c r="J15" s="157">
        <f t="shared" si="8"/>
        <v>233.33333333333331</v>
      </c>
      <c r="K15" s="142"/>
      <c r="L15" s="98" t="s">
        <v>68</v>
      </c>
      <c r="M15" s="143" t="s">
        <v>69</v>
      </c>
      <c r="N15" s="144">
        <v>3667.24</v>
      </c>
      <c r="O15" s="97">
        <v>0</v>
      </c>
      <c r="P15" s="97">
        <v>167.24</v>
      </c>
      <c r="Q15" s="95"/>
      <c r="R15" s="2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20"/>
      <c r="AG15" s="6"/>
      <c r="AH15" s="6"/>
      <c r="AI15" s="20"/>
    </row>
    <row r="16" spans="1:35" s="3" customFormat="1" ht="27" customHeight="1">
      <c r="A16" s="31">
        <v>10</v>
      </c>
      <c r="B16" s="8" t="str">
        <f t="shared" si="3"/>
        <v xml:space="preserve">GONZALEZ VAZQUEZ JORGE ARMANDO </v>
      </c>
      <c r="C16" s="6" t="str">
        <f t="shared" si="4"/>
        <v>BASURA</v>
      </c>
      <c r="D16" s="20">
        <f>H16*2.375</f>
        <v>399</v>
      </c>
      <c r="E16" s="20">
        <f t="shared" si="10"/>
        <v>0</v>
      </c>
      <c r="F16" s="20">
        <f t="shared" si="5"/>
        <v>399</v>
      </c>
      <c r="G16" s="24"/>
      <c r="H16" s="84">
        <f t="shared" si="6"/>
        <v>168</v>
      </c>
      <c r="I16" s="84">
        <f t="shared" si="7"/>
        <v>0</v>
      </c>
      <c r="J16" s="157">
        <f t="shared" si="8"/>
        <v>168</v>
      </c>
      <c r="K16" s="142"/>
      <c r="L16" s="98" t="s">
        <v>156</v>
      </c>
      <c r="M16" s="143" t="s">
        <v>133</v>
      </c>
      <c r="N16" s="144">
        <v>2520</v>
      </c>
      <c r="O16" s="97">
        <v>11.21</v>
      </c>
      <c r="P16" s="97">
        <v>0</v>
      </c>
      <c r="Q16" s="95"/>
      <c r="R16" s="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20"/>
      <c r="AG16" s="6"/>
      <c r="AH16" s="6"/>
      <c r="AI16" s="20"/>
    </row>
    <row r="17" spans="1:35" s="3" customFormat="1" ht="27" customHeight="1">
      <c r="A17" s="31">
        <v>11</v>
      </c>
      <c r="B17" s="8" t="str">
        <f t="shared" si="3"/>
        <v xml:space="preserve">GONZALEZ VAZQUEZ SALVADOR </v>
      </c>
      <c r="C17" s="6" t="str">
        <f t="shared" si="4"/>
        <v>BASURA</v>
      </c>
      <c r="D17" s="20">
        <f>H17*2.375</f>
        <v>807.3416666666667</v>
      </c>
      <c r="E17" s="20">
        <f>I17*2.375</f>
        <v>74.983499999999992</v>
      </c>
      <c r="F17" s="20">
        <f t="shared" si="5"/>
        <v>732.35816666666665</v>
      </c>
      <c r="G17" s="24"/>
      <c r="H17" s="84">
        <f t="shared" si="6"/>
        <v>339.93333333333334</v>
      </c>
      <c r="I17" s="84">
        <f t="shared" si="7"/>
        <v>31.571999999999999</v>
      </c>
      <c r="J17" s="157">
        <f t="shared" si="8"/>
        <v>308.36133333333333</v>
      </c>
      <c r="K17" s="142"/>
      <c r="L17" s="98" t="s">
        <v>137</v>
      </c>
      <c r="M17" s="143" t="s">
        <v>133</v>
      </c>
      <c r="N17" s="144">
        <v>5099</v>
      </c>
      <c r="O17" s="97">
        <v>0</v>
      </c>
      <c r="P17" s="97">
        <v>473.58</v>
      </c>
      <c r="Q17" s="95"/>
      <c r="R17" s="2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20"/>
      <c r="AG17" s="6"/>
      <c r="AH17" s="6"/>
      <c r="AI17" s="20"/>
    </row>
    <row r="18" spans="1:35" s="3" customFormat="1" ht="27" customHeight="1">
      <c r="A18" s="31">
        <v>12</v>
      </c>
      <c r="B18" s="8" t="str">
        <f t="shared" si="3"/>
        <v xml:space="preserve">MARTINEZ GONZALEZ HECTOR MIGUEL </v>
      </c>
      <c r="C18" s="6" t="str">
        <f t="shared" si="4"/>
        <v>CHOFER DE CAMION ESCOLAR</v>
      </c>
      <c r="D18" s="20">
        <f>H18*3.024</f>
        <v>1110.2051520000002</v>
      </c>
      <c r="E18" s="20">
        <f>I18*3.024-0.01</f>
        <v>110.20270400000001</v>
      </c>
      <c r="F18" s="20">
        <f t="shared" si="5"/>
        <v>1000.0024480000002</v>
      </c>
      <c r="G18" s="24"/>
      <c r="H18" s="84">
        <f t="shared" si="6"/>
        <v>367.13133333333337</v>
      </c>
      <c r="I18" s="84">
        <f t="shared" si="7"/>
        <v>36.446000000000005</v>
      </c>
      <c r="J18" s="157">
        <f t="shared" si="8"/>
        <v>330.68533333333335</v>
      </c>
      <c r="K18" s="142"/>
      <c r="L18" s="98" t="s">
        <v>141</v>
      </c>
      <c r="M18" s="143" t="s">
        <v>128</v>
      </c>
      <c r="N18" s="144">
        <v>5506.97</v>
      </c>
      <c r="O18" s="97">
        <v>0</v>
      </c>
      <c r="P18" s="97">
        <v>546.69000000000005</v>
      </c>
      <c r="Q18" s="95"/>
      <c r="R18" s="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20"/>
      <c r="AG18" s="6"/>
      <c r="AH18" s="6"/>
      <c r="AI18" s="20"/>
    </row>
    <row r="19" spans="1:35" s="3" customFormat="1" ht="27" customHeight="1">
      <c r="A19" s="31">
        <v>13</v>
      </c>
      <c r="B19" s="8" t="str">
        <f t="shared" si="3"/>
        <v xml:space="preserve">RAMIREZ SANCHEZ JUAN MANUEL </v>
      </c>
      <c r="C19" s="6" t="str">
        <f t="shared" si="4"/>
        <v xml:space="preserve">JEFE DEL DEPARTAMENTO DE AGUA POTABLE </v>
      </c>
      <c r="D19" s="20">
        <f t="shared" si="9"/>
        <v>453.82133333333331</v>
      </c>
      <c r="E19" s="20">
        <f t="shared" si="10"/>
        <v>53.821333333333335</v>
      </c>
      <c r="F19" s="20">
        <f t="shared" si="5"/>
        <v>400</v>
      </c>
      <c r="G19" s="24"/>
      <c r="H19" s="84">
        <f t="shared" si="6"/>
        <v>453.82133333333331</v>
      </c>
      <c r="I19" s="84">
        <f t="shared" si="7"/>
        <v>53.821333333333335</v>
      </c>
      <c r="J19" s="157">
        <f t="shared" si="8"/>
        <v>400</v>
      </c>
      <c r="K19" s="149"/>
      <c r="L19" s="134" t="s">
        <v>187</v>
      </c>
      <c r="M19" s="148" t="s">
        <v>188</v>
      </c>
      <c r="N19" s="134">
        <v>6807.32</v>
      </c>
      <c r="O19" s="134">
        <v>0</v>
      </c>
      <c r="P19" s="134">
        <v>807.32</v>
      </c>
      <c r="Q19" s="95"/>
      <c r="R19" s="2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20"/>
      <c r="AG19" s="6"/>
      <c r="AH19" s="6"/>
      <c r="AI19" s="20"/>
    </row>
    <row r="20" spans="1:35" s="3" customFormat="1" ht="27" customHeight="1">
      <c r="A20" s="31">
        <v>14</v>
      </c>
      <c r="B20" s="8" t="str">
        <f t="shared" si="3"/>
        <v xml:space="preserve">RODRIGUEZ GOMEZ MA GUADALUPE </v>
      </c>
      <c r="C20" s="6" t="str">
        <f t="shared" si="4"/>
        <v>AUXILIAR DE DEPARTAMENTO</v>
      </c>
      <c r="D20" s="20">
        <f>H20*1.5</f>
        <v>435.255</v>
      </c>
      <c r="E20" s="20">
        <f>I20*1.5</f>
        <v>35.255000000000003</v>
      </c>
      <c r="F20" s="20">
        <f t="shared" si="5"/>
        <v>400</v>
      </c>
      <c r="G20" s="24"/>
      <c r="H20" s="84">
        <f t="shared" si="6"/>
        <v>290.17</v>
      </c>
      <c r="I20" s="84">
        <f t="shared" si="7"/>
        <v>23.503333333333334</v>
      </c>
      <c r="J20" s="157">
        <f t="shared" si="8"/>
        <v>266.66666666666669</v>
      </c>
      <c r="K20" s="142"/>
      <c r="L20" s="98" t="s">
        <v>107</v>
      </c>
      <c r="M20" s="143" t="s">
        <v>267</v>
      </c>
      <c r="N20" s="144">
        <v>4352.55</v>
      </c>
      <c r="O20" s="97">
        <v>0</v>
      </c>
      <c r="P20" s="97">
        <v>352.55</v>
      </c>
      <c r="Q20" s="95"/>
      <c r="R20" s="2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20"/>
      <c r="AG20" s="6"/>
      <c r="AH20" s="6"/>
      <c r="AI20" s="20"/>
    </row>
    <row r="21" spans="1:35" s="3" customFormat="1" ht="27" customHeight="1">
      <c r="A21" s="31">
        <v>15</v>
      </c>
      <c r="B21" s="8" t="str">
        <f t="shared" si="3"/>
        <v xml:space="preserve">RUVALCABA RUVALCABA LORENA </v>
      </c>
      <c r="C21" s="6" t="str">
        <f t="shared" si="4"/>
        <v>INTENDENTE B EN LA PLAZA</v>
      </c>
      <c r="D21" s="20">
        <f>H21*0.875</f>
        <v>162.31074999999998</v>
      </c>
      <c r="E21" s="20">
        <f>I21*0.875</f>
        <v>1.8940833333333333</v>
      </c>
      <c r="F21" s="20">
        <f t="shared" si="5"/>
        <v>160.41666666666666</v>
      </c>
      <c r="G21" s="24"/>
      <c r="H21" s="84">
        <f t="shared" si="6"/>
        <v>185.49799999999999</v>
      </c>
      <c r="I21" s="84">
        <f t="shared" si="7"/>
        <v>2.1646666666666667</v>
      </c>
      <c r="J21" s="157">
        <f t="shared" si="8"/>
        <v>183.33333333333331</v>
      </c>
      <c r="K21" s="96"/>
      <c r="L21" s="98" t="s">
        <v>111</v>
      </c>
      <c r="M21" s="95" t="s">
        <v>112</v>
      </c>
      <c r="N21" s="117">
        <v>2782.47</v>
      </c>
      <c r="O21" s="131">
        <v>0</v>
      </c>
      <c r="P21" s="131">
        <v>32.47</v>
      </c>
      <c r="Q21" s="95"/>
      <c r="R21" s="2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20"/>
      <c r="AG21" s="6"/>
      <c r="AH21" s="6"/>
      <c r="AI21" s="20"/>
    </row>
    <row r="22" spans="1:35" s="3" customFormat="1" ht="27" customHeight="1">
      <c r="A22" s="31">
        <v>16</v>
      </c>
      <c r="B22" s="8" t="str">
        <f t="shared" si="3"/>
        <v xml:space="preserve">VAZQUEZ FLORES FERNANDO </v>
      </c>
      <c r="C22" s="6" t="str">
        <f t="shared" si="4"/>
        <v>BASURA</v>
      </c>
      <c r="D22" s="20">
        <f t="shared" si="9"/>
        <v>183.19</v>
      </c>
      <c r="E22" s="20">
        <f t="shared" si="10"/>
        <v>1.9133333333333333</v>
      </c>
      <c r="F22" s="20">
        <f t="shared" si="5"/>
        <v>181.27666666666667</v>
      </c>
      <c r="G22" s="7"/>
      <c r="H22" s="84">
        <f t="shared" si="6"/>
        <v>183.19</v>
      </c>
      <c r="I22" s="84">
        <f t="shared" si="7"/>
        <v>1.9133333333333333</v>
      </c>
      <c r="J22" s="157">
        <f t="shared" si="8"/>
        <v>181.27666666666667</v>
      </c>
      <c r="K22" s="142"/>
      <c r="L22" s="146" t="s">
        <v>157</v>
      </c>
      <c r="M22" s="159" t="s">
        <v>133</v>
      </c>
      <c r="N22" s="141">
        <v>2747.85</v>
      </c>
      <c r="O22" s="141">
        <v>0</v>
      </c>
      <c r="P22" s="141">
        <v>28.7</v>
      </c>
      <c r="Q22" s="95"/>
      <c r="R22" s="2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20"/>
      <c r="AG22" s="6"/>
      <c r="AH22" s="6"/>
      <c r="AI22" s="20"/>
    </row>
    <row r="23" spans="1:35" s="3" customFormat="1" ht="27" customHeight="1">
      <c r="A23" s="31">
        <v>17</v>
      </c>
      <c r="B23" s="8" t="str">
        <f t="shared" si="3"/>
        <v xml:space="preserve">YAÑEZ JIMENEZ JOSE MANUEL </v>
      </c>
      <c r="C23" s="6" t="str">
        <f t="shared" si="4"/>
        <v>CUADRILLA AGUA POTABLE Y ALCAN</v>
      </c>
      <c r="D23" s="20">
        <f>H23*10.944</f>
        <v>3272.6937600000006</v>
      </c>
      <c r="E23" s="20">
        <f>I23*10.9416</f>
        <v>272.69384959999996</v>
      </c>
      <c r="F23" s="20">
        <f t="shared" si="5"/>
        <v>2999.9999104000008</v>
      </c>
      <c r="G23" s="7"/>
      <c r="H23" s="84">
        <f t="shared" si="6"/>
        <v>299.04000000000002</v>
      </c>
      <c r="I23" s="84">
        <f t="shared" si="7"/>
        <v>24.922666666666665</v>
      </c>
      <c r="J23" s="157">
        <f t="shared" si="8"/>
        <v>274.11733333333336</v>
      </c>
      <c r="K23" s="142"/>
      <c r="L23" s="146" t="s">
        <v>268</v>
      </c>
      <c r="M23" s="148" t="s">
        <v>57</v>
      </c>
      <c r="N23" s="134">
        <v>4485.6000000000004</v>
      </c>
      <c r="O23" s="134">
        <v>0</v>
      </c>
      <c r="P23" s="97">
        <v>373.84</v>
      </c>
      <c r="Q23" s="95"/>
      <c r="R23" s="2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20"/>
      <c r="AG23" s="6"/>
      <c r="AH23" s="6"/>
      <c r="AI23" s="20"/>
    </row>
    <row r="24" spans="1:35" s="3" customFormat="1" ht="27" customHeight="1">
      <c r="A24" s="31"/>
      <c r="B24" s="10"/>
      <c r="C24" s="6"/>
      <c r="D24" s="20"/>
      <c r="E24" s="20"/>
      <c r="F24" s="20"/>
      <c r="G24" s="7"/>
      <c r="H24" s="84"/>
      <c r="I24" s="84"/>
      <c r="J24" s="157"/>
      <c r="K24" s="142"/>
      <c r="L24" s="146"/>
      <c r="M24" s="148"/>
      <c r="N24" s="141"/>
      <c r="O24" s="141"/>
      <c r="P24" s="141"/>
      <c r="Q24" s="95"/>
      <c r="R24" s="2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20"/>
      <c r="AG24" s="6"/>
      <c r="AH24" s="6"/>
      <c r="AI24" s="20"/>
    </row>
    <row r="25" spans="1:35" s="3" customFormat="1" ht="27" customHeight="1">
      <c r="A25" s="31"/>
      <c r="B25" s="10"/>
      <c r="C25" s="67" t="s">
        <v>165</v>
      </c>
      <c r="D25" s="63">
        <f>SUM(D7:D24)</f>
        <v>13231.585762000001</v>
      </c>
      <c r="E25" s="63">
        <f>SUM(E7:E24)</f>
        <v>991.09723626666664</v>
      </c>
      <c r="F25" s="63">
        <f>SUM(F7:F24)</f>
        <v>12240.488525733334</v>
      </c>
      <c r="G25" s="7"/>
      <c r="H25" s="84"/>
      <c r="I25" s="84"/>
      <c r="J25" s="157"/>
      <c r="K25" s="134"/>
      <c r="L25" s="134"/>
      <c r="M25" s="134"/>
      <c r="N25" s="97"/>
      <c r="O25" s="95"/>
      <c r="P25" s="95"/>
      <c r="Q25" s="98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20"/>
      <c r="AD25" s="6"/>
      <c r="AE25" s="6"/>
      <c r="AF25" s="20"/>
    </row>
    <row r="26" spans="1:35" s="3" customFormat="1" ht="27" customHeight="1">
      <c r="A26" s="31"/>
      <c r="B26" s="10" t="s">
        <v>288</v>
      </c>
      <c r="C26" s="6"/>
      <c r="D26" s="20"/>
      <c r="E26" s="20"/>
      <c r="F26" s="20"/>
      <c r="G26" s="7"/>
      <c r="H26" s="84"/>
      <c r="I26" s="84"/>
      <c r="J26" s="157"/>
      <c r="K26" s="134"/>
      <c r="L26" s="134"/>
      <c r="M26" s="134"/>
      <c r="N26" s="134"/>
      <c r="O26" s="95"/>
      <c r="P26" s="95"/>
      <c r="Q26" s="98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20"/>
      <c r="AD26" s="6"/>
      <c r="AE26" s="6"/>
      <c r="AF26" s="20"/>
    </row>
    <row r="27" spans="1:35" s="3" customFormat="1" ht="27" customHeight="1">
      <c r="A27" s="31"/>
      <c r="B27" s="10" t="s">
        <v>270</v>
      </c>
      <c r="C27" s="6"/>
      <c r="D27" s="20"/>
      <c r="E27" s="20"/>
      <c r="F27" s="20"/>
      <c r="G27" s="7"/>
      <c r="H27" s="84"/>
      <c r="I27" s="84"/>
      <c r="J27" s="157"/>
      <c r="K27" s="134"/>
      <c r="L27" s="134"/>
      <c r="M27" s="134"/>
      <c r="N27" s="134"/>
      <c r="O27" s="95"/>
      <c r="P27" s="95"/>
      <c r="Q27" s="98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20"/>
      <c r="AD27" s="6"/>
      <c r="AE27" s="6"/>
      <c r="AF27" s="20"/>
    </row>
    <row r="28" spans="1:35" s="3" customFormat="1" ht="27" customHeight="1">
      <c r="A28" s="31"/>
      <c r="B28" s="10"/>
      <c r="C28" s="6"/>
      <c r="D28" s="20"/>
      <c r="E28" s="20"/>
      <c r="F28" s="20"/>
      <c r="G28" s="7"/>
      <c r="H28" s="84"/>
      <c r="I28" s="84"/>
      <c r="J28" s="157"/>
      <c r="K28" s="134"/>
      <c r="L28" s="134"/>
      <c r="M28" s="134"/>
      <c r="N28" s="134"/>
      <c r="O28" s="95"/>
      <c r="P28" s="95"/>
      <c r="Q28" s="98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20"/>
      <c r="AD28" s="6"/>
      <c r="AE28" s="6"/>
      <c r="AF28" s="20"/>
    </row>
    <row r="29" spans="1:35" s="3" customFormat="1" ht="27" customHeight="1">
      <c r="A29" s="31"/>
      <c r="B29" s="10"/>
      <c r="C29" s="6"/>
      <c r="D29" s="20"/>
      <c r="E29" s="20"/>
      <c r="F29" s="20"/>
      <c r="G29" s="7"/>
      <c r="H29" s="84"/>
      <c r="I29" s="84"/>
      <c r="J29" s="157"/>
      <c r="K29" s="134"/>
      <c r="L29" s="134"/>
      <c r="M29" s="134"/>
      <c r="N29" s="134"/>
      <c r="O29" s="95"/>
      <c r="P29" s="95"/>
      <c r="Q29" s="98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20"/>
      <c r="AD29" s="6"/>
      <c r="AE29" s="6"/>
      <c r="AF29" s="20"/>
    </row>
    <row r="30" spans="1:35" s="3" customFormat="1" ht="27" customHeight="1">
      <c r="A30" s="31"/>
      <c r="B30" s="10"/>
      <c r="C30" s="6"/>
      <c r="D30" s="20"/>
      <c r="E30" s="20"/>
      <c r="F30" s="20"/>
      <c r="G30" s="7"/>
      <c r="H30" s="84"/>
      <c r="I30" s="84"/>
      <c r="J30" s="157"/>
      <c r="K30" s="134"/>
      <c r="L30" s="134"/>
      <c r="M30" s="134"/>
      <c r="N30" s="134"/>
      <c r="O30" s="95"/>
      <c r="P30" s="95"/>
      <c r="Q30" s="98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20"/>
      <c r="AD30" s="6"/>
      <c r="AE30" s="6"/>
      <c r="AF30" s="20"/>
    </row>
    <row r="31" spans="1:35" s="3" customFormat="1" ht="27" customHeight="1">
      <c r="A31" s="31"/>
      <c r="B31" s="10"/>
      <c r="C31" s="6"/>
      <c r="D31" s="20"/>
      <c r="E31" s="20"/>
      <c r="F31" s="20"/>
      <c r="G31" s="7"/>
      <c r="H31" s="84"/>
      <c r="I31" s="84"/>
      <c r="J31" s="157"/>
      <c r="K31" s="134"/>
      <c r="L31" s="134"/>
      <c r="M31" s="134"/>
      <c r="N31" s="134"/>
      <c r="O31" s="95"/>
      <c r="P31" s="95"/>
      <c r="Q31" s="98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20"/>
      <c r="AD31" s="6"/>
      <c r="AE31" s="6"/>
      <c r="AF31" s="20"/>
    </row>
    <row r="32" spans="1:35" s="3" customFormat="1" ht="27" customHeight="1">
      <c r="A32" s="31"/>
      <c r="B32" s="10"/>
      <c r="C32" s="6"/>
      <c r="D32" s="20"/>
      <c r="E32" s="20"/>
      <c r="F32" s="20"/>
      <c r="G32" s="7"/>
      <c r="H32" s="84"/>
      <c r="I32" s="84"/>
      <c r="J32" s="157"/>
      <c r="K32" s="134"/>
      <c r="L32" s="134"/>
      <c r="M32" s="134"/>
      <c r="N32" s="134"/>
      <c r="O32" s="95"/>
      <c r="P32" s="95"/>
      <c r="Q32" s="98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20"/>
      <c r="AD32" s="6"/>
      <c r="AE32" s="6"/>
      <c r="AF32" s="20"/>
    </row>
    <row r="33" spans="1:32" s="3" customFormat="1" ht="27" customHeight="1">
      <c r="A33" s="241" t="s">
        <v>24</v>
      </c>
      <c r="B33" s="242"/>
      <c r="C33" s="242"/>
      <c r="D33" s="242"/>
      <c r="E33" s="242"/>
      <c r="F33" s="242"/>
      <c r="G33" s="243"/>
      <c r="H33" s="84"/>
      <c r="I33" s="84"/>
      <c r="J33" s="157"/>
      <c r="K33" s="134"/>
      <c r="L33" s="134"/>
      <c r="M33" s="134"/>
      <c r="N33" s="134"/>
      <c r="O33" s="95"/>
      <c r="P33" s="95"/>
      <c r="Q33" s="98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20"/>
      <c r="AD33" s="6"/>
      <c r="AE33" s="6"/>
      <c r="AF33" s="20"/>
    </row>
    <row r="34" spans="1:32" s="3" customFormat="1" ht="27" customHeight="1">
      <c r="A34" s="241" t="s">
        <v>244</v>
      </c>
      <c r="B34" s="242"/>
      <c r="C34" s="242"/>
      <c r="D34" s="242"/>
      <c r="E34" s="242"/>
      <c r="F34" s="242"/>
      <c r="G34" s="243"/>
      <c r="H34" s="84"/>
      <c r="I34" s="84"/>
      <c r="J34" s="157"/>
      <c r="K34" s="134"/>
      <c r="L34" s="134"/>
      <c r="M34" s="134"/>
      <c r="N34" s="134"/>
      <c r="O34" s="95"/>
      <c r="P34" s="95"/>
      <c r="Q34" s="98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20"/>
      <c r="AD34" s="6"/>
      <c r="AE34" s="6"/>
      <c r="AF34" s="20"/>
    </row>
    <row r="35" spans="1:32" s="3" customFormat="1" ht="27" customHeight="1">
      <c r="A35" s="241" t="str">
        <f>+A3</f>
        <v xml:space="preserve">AYUNTAMIENTO Y QUE  CORRESPONDEN A LA 2DA QUINCENA DE SEPTIEMBRE DE 2019 </v>
      </c>
      <c r="B35" s="242"/>
      <c r="C35" s="242"/>
      <c r="D35" s="242"/>
      <c r="E35" s="242"/>
      <c r="F35" s="242"/>
      <c r="G35" s="243"/>
      <c r="H35" s="84"/>
      <c r="I35" s="84"/>
      <c r="J35" s="157"/>
      <c r="K35" s="134"/>
      <c r="L35" s="134"/>
      <c r="M35" s="134"/>
      <c r="N35" s="134"/>
      <c r="O35" s="95"/>
      <c r="P35" s="95"/>
      <c r="Q35" s="98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20"/>
      <c r="AD35" s="6"/>
      <c r="AE35" s="6"/>
      <c r="AF35" s="20"/>
    </row>
    <row r="36" spans="1:32" s="3" customFormat="1" ht="27" customHeight="1">
      <c r="A36" s="241" t="s">
        <v>27</v>
      </c>
      <c r="B36" s="242"/>
      <c r="C36" s="242"/>
      <c r="D36" s="242"/>
      <c r="E36" s="242"/>
      <c r="F36" s="242"/>
      <c r="G36" s="243"/>
      <c r="H36" s="84"/>
      <c r="I36" s="84"/>
      <c r="J36" s="157"/>
      <c r="K36" s="134"/>
      <c r="L36" s="134"/>
      <c r="M36" s="134"/>
      <c r="N36" s="134"/>
      <c r="O36" s="95"/>
      <c r="P36" s="95"/>
      <c r="Q36" s="98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20"/>
      <c r="AD36" s="6"/>
      <c r="AE36" s="6"/>
      <c r="AF36" s="20"/>
    </row>
    <row r="37" spans="1:32" s="3" customFormat="1" ht="27" customHeight="1">
      <c r="A37" s="31"/>
      <c r="B37" s="10"/>
      <c r="C37" s="8"/>
      <c r="D37" s="20"/>
      <c r="E37" s="20"/>
      <c r="F37" s="20"/>
      <c r="G37" s="7"/>
      <c r="H37" s="84"/>
      <c r="I37" s="84"/>
      <c r="J37" s="157"/>
      <c r="K37" s="134"/>
      <c r="L37" s="134"/>
      <c r="M37" s="134"/>
      <c r="N37" s="134"/>
      <c r="O37" s="95"/>
      <c r="P37" s="95"/>
      <c r="Q37" s="98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20"/>
      <c r="AD37" s="6"/>
      <c r="AE37" s="6"/>
      <c r="AF37" s="20"/>
    </row>
    <row r="38" spans="1:32" s="3" customFormat="1" ht="27" customHeight="1">
      <c r="A38" s="31">
        <v>1</v>
      </c>
      <c r="B38" s="10"/>
      <c r="C38" s="8" t="str">
        <f t="shared" ref="B38:C38" si="11">+M38</f>
        <v>POLICIA DE LINEA</v>
      </c>
      <c r="D38" s="20">
        <f>H38*4</f>
        <v>1565.9013333333335</v>
      </c>
      <c r="E38" s="20">
        <f>I38*4</f>
        <v>163.23466666666667</v>
      </c>
      <c r="F38" s="20">
        <f t="shared" ref="F38" si="12">D38-E38</f>
        <v>1402.6666666666667</v>
      </c>
      <c r="G38" s="7"/>
      <c r="H38" s="84">
        <f>+N38/15</f>
        <v>391.47533333333337</v>
      </c>
      <c r="I38" s="84">
        <f>+P38/15</f>
        <v>40.808666666666667</v>
      </c>
      <c r="J38" s="86">
        <f>+H38-I38</f>
        <v>350.66666666666669</v>
      </c>
      <c r="K38" s="142"/>
      <c r="L38" s="98" t="s">
        <v>213</v>
      </c>
      <c r="M38" s="134" t="s">
        <v>90</v>
      </c>
      <c r="N38" s="134">
        <v>5872.13</v>
      </c>
      <c r="O38" s="95">
        <v>0</v>
      </c>
      <c r="P38" s="98">
        <v>612.13</v>
      </c>
      <c r="Q38" s="98"/>
      <c r="R38" s="6"/>
      <c r="S38" s="6"/>
      <c r="T38" s="6"/>
      <c r="U38" s="6"/>
      <c r="V38" s="6"/>
      <c r="W38" s="6"/>
      <c r="X38" s="6"/>
      <c r="Y38" s="6"/>
      <c r="Z38" s="6"/>
      <c r="AA38" s="6"/>
      <c r="AB38" s="20"/>
      <c r="AC38" s="6"/>
      <c r="AD38" s="6"/>
      <c r="AE38" s="20"/>
    </row>
    <row r="39" spans="1:32" s="3" customFormat="1" ht="27" customHeight="1">
      <c r="A39" s="31">
        <v>2</v>
      </c>
      <c r="B39" s="10"/>
      <c r="C39" s="8" t="str">
        <f t="shared" ref="C39:C63" si="13">+M39</f>
        <v>POLICIA DE LINEA</v>
      </c>
      <c r="D39" s="20">
        <f>H39*2</f>
        <v>782.95066666666673</v>
      </c>
      <c r="E39" s="20">
        <f>I39*2</f>
        <v>81.617333333333335</v>
      </c>
      <c r="F39" s="20">
        <f t="shared" ref="F39:F63" si="14">D39-E39</f>
        <v>701.33333333333337</v>
      </c>
      <c r="G39" s="7"/>
      <c r="H39" s="84">
        <f t="shared" ref="H39:H63" si="15">+N39/15</f>
        <v>391.47533333333337</v>
      </c>
      <c r="I39" s="84">
        <f t="shared" ref="I39:I63" si="16">+P39/15</f>
        <v>40.808666666666667</v>
      </c>
      <c r="J39" s="86">
        <f t="shared" ref="J39:J63" si="17">+H39-I39</f>
        <v>350.66666666666669</v>
      </c>
      <c r="K39" s="142"/>
      <c r="L39" s="98" t="s">
        <v>215</v>
      </c>
      <c r="M39" s="134" t="s">
        <v>90</v>
      </c>
      <c r="N39" s="134">
        <v>5872.13</v>
      </c>
      <c r="O39" s="95">
        <v>0</v>
      </c>
      <c r="P39" s="98">
        <v>612.13</v>
      </c>
      <c r="Q39" s="98"/>
      <c r="R39" s="6"/>
      <c r="S39" s="6"/>
      <c r="T39" s="6"/>
      <c r="U39" s="6"/>
      <c r="V39" s="6"/>
      <c r="W39" s="6"/>
      <c r="X39" s="6"/>
      <c r="Y39" s="6"/>
      <c r="Z39" s="6"/>
      <c r="AA39" s="6"/>
      <c r="AB39" s="20"/>
      <c r="AC39" s="6"/>
      <c r="AD39" s="6"/>
      <c r="AE39" s="20"/>
    </row>
    <row r="40" spans="1:32" s="3" customFormat="1" ht="27" customHeight="1">
      <c r="A40" s="31">
        <v>3</v>
      </c>
      <c r="B40" s="10"/>
      <c r="C40" s="8" t="str">
        <f t="shared" si="13"/>
        <v>POLICIA DE LINEA</v>
      </c>
      <c r="D40" s="20">
        <f>H40*5</f>
        <v>1957.3766666666668</v>
      </c>
      <c r="E40" s="20">
        <f>I40*5</f>
        <v>204.04333333333335</v>
      </c>
      <c r="F40" s="20">
        <f t="shared" si="14"/>
        <v>1753.3333333333335</v>
      </c>
      <c r="G40" s="7"/>
      <c r="H40" s="84">
        <f t="shared" si="15"/>
        <v>391.47533333333337</v>
      </c>
      <c r="I40" s="84">
        <f t="shared" si="16"/>
        <v>40.808666666666667</v>
      </c>
      <c r="J40" s="86">
        <f t="shared" si="17"/>
        <v>350.66666666666669</v>
      </c>
      <c r="K40" s="142"/>
      <c r="L40" s="98" t="s">
        <v>255</v>
      </c>
      <c r="M40" s="134" t="s">
        <v>90</v>
      </c>
      <c r="N40" s="134">
        <v>5872.13</v>
      </c>
      <c r="O40" s="95">
        <v>0</v>
      </c>
      <c r="P40" s="98">
        <v>612.13</v>
      </c>
      <c r="Q40" s="98"/>
      <c r="R40" s="6"/>
      <c r="S40" s="6"/>
      <c r="T40" s="6"/>
      <c r="U40" s="6"/>
      <c r="V40" s="6"/>
      <c r="W40" s="6"/>
      <c r="X40" s="6"/>
      <c r="Y40" s="6"/>
      <c r="Z40" s="6"/>
      <c r="AA40" s="6"/>
      <c r="AB40" s="20"/>
      <c r="AC40" s="6"/>
      <c r="AD40" s="6"/>
      <c r="AE40" s="20"/>
    </row>
    <row r="41" spans="1:32" s="3" customFormat="1" ht="27" customHeight="1">
      <c r="A41" s="31">
        <v>4</v>
      </c>
      <c r="B41" s="10" t="str">
        <f t="shared" ref="B39:B63" si="18">+L41</f>
        <v xml:space="preserve">ALVAREZ HUERTA JESUS GERARDO </v>
      </c>
      <c r="C41" s="8" t="str">
        <f t="shared" si="13"/>
        <v>AUXILIAR DE PROTECCION CIVIL B</v>
      </c>
      <c r="D41" s="20">
        <f>H41*1.5</f>
        <v>435.255</v>
      </c>
      <c r="E41" s="20">
        <f>I41*1.5</f>
        <v>35.255000000000003</v>
      </c>
      <c r="F41" s="20">
        <f t="shared" si="14"/>
        <v>400</v>
      </c>
      <c r="G41" s="7"/>
      <c r="H41" s="84">
        <f t="shared" si="15"/>
        <v>290.17</v>
      </c>
      <c r="I41" s="84">
        <f t="shared" si="16"/>
        <v>23.503333333333334</v>
      </c>
      <c r="J41" s="86">
        <f t="shared" si="17"/>
        <v>266.66666666666669</v>
      </c>
      <c r="K41" s="142"/>
      <c r="L41" s="98" t="s">
        <v>271</v>
      </c>
      <c r="M41" s="134" t="s">
        <v>272</v>
      </c>
      <c r="N41" s="134">
        <v>4352.55</v>
      </c>
      <c r="O41" s="95">
        <v>0</v>
      </c>
      <c r="P41" s="98">
        <v>352.55</v>
      </c>
      <c r="Q41" s="98"/>
      <c r="R41" s="6"/>
      <c r="S41" s="6"/>
      <c r="T41" s="6"/>
      <c r="U41" s="6"/>
      <c r="V41" s="6"/>
      <c r="W41" s="6"/>
      <c r="X41" s="6"/>
      <c r="Y41" s="6"/>
      <c r="Z41" s="6"/>
      <c r="AA41" s="6"/>
      <c r="AB41" s="20"/>
      <c r="AC41" s="6"/>
      <c r="AD41" s="6"/>
      <c r="AE41" s="20"/>
    </row>
    <row r="42" spans="1:32" s="3" customFormat="1" ht="27" customHeight="1">
      <c r="A42" s="31">
        <v>5</v>
      </c>
      <c r="B42" s="10" t="str">
        <f t="shared" si="18"/>
        <v xml:space="preserve">CAMACHO FLORES MARIO </v>
      </c>
      <c r="C42" s="8" t="str">
        <f t="shared" si="13"/>
        <v>COMANDANTE</v>
      </c>
      <c r="D42" s="20">
        <f>H42*4</f>
        <v>1730.5093333333332</v>
      </c>
      <c r="E42" s="20">
        <f>I42*4</f>
        <v>197.17599999999999</v>
      </c>
      <c r="F42" s="20">
        <f t="shared" si="14"/>
        <v>1533.3333333333333</v>
      </c>
      <c r="G42" s="7"/>
      <c r="H42" s="84">
        <f t="shared" si="15"/>
        <v>432.6273333333333</v>
      </c>
      <c r="I42" s="84">
        <f t="shared" si="16"/>
        <v>49.293999999999997</v>
      </c>
      <c r="J42" s="86">
        <f t="shared" si="17"/>
        <v>383.33333333333331</v>
      </c>
      <c r="K42" s="142"/>
      <c r="L42" s="98" t="s">
        <v>217</v>
      </c>
      <c r="M42" s="134" t="s">
        <v>208</v>
      </c>
      <c r="N42" s="134">
        <v>6489.41</v>
      </c>
      <c r="O42" s="95">
        <v>0</v>
      </c>
      <c r="P42" s="98">
        <v>739.41</v>
      </c>
      <c r="Q42" s="98"/>
      <c r="R42" s="6"/>
      <c r="S42" s="6"/>
      <c r="T42" s="6"/>
      <c r="U42" s="6"/>
      <c r="V42" s="6"/>
      <c r="W42" s="6"/>
      <c r="X42" s="6"/>
      <c r="Y42" s="6"/>
      <c r="Z42" s="6"/>
      <c r="AA42" s="6"/>
      <c r="AB42" s="20"/>
      <c r="AC42" s="6"/>
      <c r="AD42" s="6"/>
      <c r="AE42" s="20"/>
    </row>
    <row r="43" spans="1:32" s="3" customFormat="1" ht="27" customHeight="1">
      <c r="A43" s="31">
        <v>6</v>
      </c>
      <c r="B43" s="10" t="str">
        <f t="shared" si="18"/>
        <v xml:space="preserve">DIAZ NORIEGA BEATRIZ </v>
      </c>
      <c r="C43" s="8" t="str">
        <f t="shared" si="13"/>
        <v>PARAMEDICO</v>
      </c>
      <c r="D43" s="20">
        <f>H43*1.125</f>
        <v>439.49624999999997</v>
      </c>
      <c r="E43" s="20">
        <f>I43*1.125</f>
        <v>45.746250000000003</v>
      </c>
      <c r="F43" s="20">
        <f t="shared" si="14"/>
        <v>393.75</v>
      </c>
      <c r="G43" s="7"/>
      <c r="H43" s="84">
        <f t="shared" si="15"/>
        <v>390.6633333333333</v>
      </c>
      <c r="I43" s="84">
        <f t="shared" si="16"/>
        <v>40.663333333333334</v>
      </c>
      <c r="J43" s="86">
        <f t="shared" si="17"/>
        <v>349.99999999999994</v>
      </c>
      <c r="K43" s="142"/>
      <c r="L43" s="98" t="s">
        <v>273</v>
      </c>
      <c r="M43" s="134" t="s">
        <v>274</v>
      </c>
      <c r="N43" s="134">
        <v>5859.95</v>
      </c>
      <c r="O43" s="95">
        <v>0</v>
      </c>
      <c r="P43" s="98">
        <v>609.95000000000005</v>
      </c>
      <c r="Q43" s="98"/>
      <c r="R43" s="6"/>
      <c r="S43" s="6"/>
      <c r="T43" s="6"/>
      <c r="U43" s="6"/>
      <c r="V43" s="6"/>
      <c r="W43" s="6"/>
      <c r="X43" s="6"/>
      <c r="Y43" s="6"/>
      <c r="Z43" s="6"/>
      <c r="AA43" s="6"/>
      <c r="AB43" s="20"/>
      <c r="AC43" s="6"/>
      <c r="AD43" s="6"/>
      <c r="AE43" s="20"/>
    </row>
    <row r="44" spans="1:32" s="3" customFormat="1" ht="27" customHeight="1">
      <c r="A44" s="31">
        <v>7</v>
      </c>
      <c r="B44" s="10" t="str">
        <f t="shared" si="18"/>
        <v xml:space="preserve">FLORES BAÑUELOS ADRIANA ELIZABETH </v>
      </c>
      <c r="C44" s="8" t="str">
        <f t="shared" si="13"/>
        <v>PARAMEDICO</v>
      </c>
      <c r="D44" s="20">
        <f>H44*2.375</f>
        <v>927.82541666666657</v>
      </c>
      <c r="E44" s="20">
        <f>I44*2.375</f>
        <v>96.575416666666669</v>
      </c>
      <c r="F44" s="20">
        <f t="shared" si="14"/>
        <v>831.24999999999989</v>
      </c>
      <c r="G44" s="7"/>
      <c r="H44" s="84">
        <f t="shared" si="15"/>
        <v>390.6633333333333</v>
      </c>
      <c r="I44" s="84">
        <f t="shared" si="16"/>
        <v>40.663333333333334</v>
      </c>
      <c r="J44" s="86">
        <f t="shared" si="17"/>
        <v>349.99999999999994</v>
      </c>
      <c r="K44" s="142"/>
      <c r="L44" s="98" t="s">
        <v>275</v>
      </c>
      <c r="M44" s="134" t="s">
        <v>274</v>
      </c>
      <c r="N44" s="134">
        <v>5859.95</v>
      </c>
      <c r="O44" s="95">
        <v>0</v>
      </c>
      <c r="P44" s="98">
        <v>609.95000000000005</v>
      </c>
      <c r="Q44" s="98"/>
      <c r="R44" s="6"/>
      <c r="S44" s="6"/>
      <c r="T44" s="6"/>
      <c r="U44" s="6"/>
      <c r="V44" s="6"/>
      <c r="W44" s="6"/>
      <c r="X44" s="6"/>
      <c r="Y44" s="6"/>
      <c r="Z44" s="6"/>
      <c r="AA44" s="6"/>
      <c r="AB44" s="20"/>
      <c r="AC44" s="6"/>
      <c r="AD44" s="6"/>
      <c r="AE44" s="20"/>
    </row>
    <row r="45" spans="1:32" s="3" customFormat="1" ht="27" customHeight="1">
      <c r="A45" s="31">
        <v>8</v>
      </c>
      <c r="B45" s="10" t="str">
        <f t="shared" si="18"/>
        <v xml:space="preserve">FLORES RUVALCABA ROBERTO ALEJANDRO </v>
      </c>
      <c r="C45" s="8" t="str">
        <f t="shared" si="13"/>
        <v>COMANDANTE</v>
      </c>
      <c r="D45" s="20">
        <f>H45*2</f>
        <v>865.25466666666659</v>
      </c>
      <c r="E45" s="20">
        <f>I45*2</f>
        <v>98.587999999999994</v>
      </c>
      <c r="F45" s="20">
        <f t="shared" si="14"/>
        <v>766.66666666666663</v>
      </c>
      <c r="G45" s="7"/>
      <c r="H45" s="84">
        <f t="shared" si="15"/>
        <v>432.6273333333333</v>
      </c>
      <c r="I45" s="84">
        <f t="shared" si="16"/>
        <v>49.293999999999997</v>
      </c>
      <c r="J45" s="86">
        <f t="shared" si="17"/>
        <v>383.33333333333331</v>
      </c>
      <c r="K45" s="142"/>
      <c r="L45" s="98" t="s">
        <v>203</v>
      </c>
      <c r="M45" s="134" t="s">
        <v>208</v>
      </c>
      <c r="N45" s="134">
        <v>6489.41</v>
      </c>
      <c r="O45" s="95">
        <v>0</v>
      </c>
      <c r="P45" s="98">
        <v>739.41</v>
      </c>
      <c r="Q45" s="98"/>
      <c r="R45" s="6"/>
      <c r="S45" s="6"/>
      <c r="T45" s="6"/>
      <c r="U45" s="6"/>
      <c r="V45" s="6"/>
      <c r="W45" s="6"/>
      <c r="X45" s="6"/>
      <c r="Y45" s="6"/>
      <c r="Z45" s="6"/>
      <c r="AA45" s="6"/>
      <c r="AB45" s="20"/>
      <c r="AC45" s="6"/>
      <c r="AD45" s="6"/>
      <c r="AE45" s="20"/>
    </row>
    <row r="46" spans="1:32" s="3" customFormat="1" ht="27" customHeight="1">
      <c r="A46" s="31">
        <v>9</v>
      </c>
      <c r="B46" s="10"/>
      <c r="C46" s="8" t="str">
        <f t="shared" si="13"/>
        <v>POLICIA DE LINEA</v>
      </c>
      <c r="D46" s="20">
        <f t="shared" ref="D46:E48" si="19">H46*4</f>
        <v>1565.9013333333335</v>
      </c>
      <c r="E46" s="20">
        <f t="shared" si="19"/>
        <v>163.23466666666667</v>
      </c>
      <c r="F46" s="20">
        <f t="shared" si="14"/>
        <v>1402.6666666666667</v>
      </c>
      <c r="G46" s="7"/>
      <c r="H46" s="84">
        <f t="shared" si="15"/>
        <v>391.47533333333337</v>
      </c>
      <c r="I46" s="84">
        <f t="shared" si="16"/>
        <v>40.808666666666667</v>
      </c>
      <c r="J46" s="86">
        <f t="shared" si="17"/>
        <v>350.66666666666669</v>
      </c>
      <c r="K46" s="142"/>
      <c r="L46" s="98" t="s">
        <v>218</v>
      </c>
      <c r="M46" s="134" t="s">
        <v>90</v>
      </c>
      <c r="N46" s="134">
        <v>5872.13</v>
      </c>
      <c r="O46" s="95">
        <v>0</v>
      </c>
      <c r="P46" s="98">
        <v>612.13</v>
      </c>
      <c r="Q46" s="98"/>
      <c r="R46" s="6"/>
      <c r="S46" s="6"/>
      <c r="T46" s="6"/>
      <c r="U46" s="6"/>
      <c r="V46" s="6"/>
      <c r="W46" s="6"/>
      <c r="X46" s="6"/>
      <c r="Y46" s="6"/>
      <c r="Z46" s="6"/>
      <c r="AA46" s="6"/>
      <c r="AB46" s="20"/>
      <c r="AC46" s="6"/>
      <c r="AD46" s="6"/>
      <c r="AE46" s="20"/>
    </row>
    <row r="47" spans="1:32" s="3" customFormat="1" ht="27" customHeight="1">
      <c r="A47" s="31">
        <v>10</v>
      </c>
      <c r="B47" s="10"/>
      <c r="C47" s="8" t="str">
        <f t="shared" si="13"/>
        <v>POLICIA DE LINEA</v>
      </c>
      <c r="D47" s="20">
        <f t="shared" si="19"/>
        <v>1565.9013333333335</v>
      </c>
      <c r="E47" s="20">
        <f t="shared" si="19"/>
        <v>163.23466666666667</v>
      </c>
      <c r="F47" s="20">
        <f t="shared" si="14"/>
        <v>1402.6666666666667</v>
      </c>
      <c r="G47" s="7"/>
      <c r="H47" s="84">
        <f t="shared" si="15"/>
        <v>391.47533333333337</v>
      </c>
      <c r="I47" s="84">
        <f t="shared" si="16"/>
        <v>40.808666666666667</v>
      </c>
      <c r="J47" s="86">
        <f t="shared" si="17"/>
        <v>350.66666666666669</v>
      </c>
      <c r="K47" s="142"/>
      <c r="L47" s="98" t="s">
        <v>276</v>
      </c>
      <c r="M47" s="134" t="s">
        <v>90</v>
      </c>
      <c r="N47" s="134">
        <v>5872.13</v>
      </c>
      <c r="O47" s="95">
        <v>0</v>
      </c>
      <c r="P47" s="98">
        <v>612.13</v>
      </c>
      <c r="Q47" s="98"/>
      <c r="R47" s="6"/>
      <c r="S47" s="6"/>
      <c r="T47" s="6"/>
      <c r="U47" s="6"/>
      <c r="V47" s="6"/>
      <c r="W47" s="6"/>
      <c r="X47" s="6"/>
      <c r="Y47" s="6"/>
      <c r="Z47" s="6"/>
      <c r="AA47" s="6"/>
      <c r="AB47" s="20"/>
      <c r="AC47" s="6"/>
      <c r="AD47" s="6"/>
      <c r="AE47" s="20"/>
    </row>
    <row r="48" spans="1:32" s="3" customFormat="1" ht="27" customHeight="1">
      <c r="A48" s="31">
        <v>11</v>
      </c>
      <c r="B48" s="10"/>
      <c r="C48" s="8" t="str">
        <f t="shared" si="13"/>
        <v>POLICIA DE LINEA</v>
      </c>
      <c r="D48" s="20">
        <f t="shared" si="19"/>
        <v>1565.9013333333335</v>
      </c>
      <c r="E48" s="20">
        <f t="shared" si="19"/>
        <v>163.23466666666667</v>
      </c>
      <c r="F48" s="20">
        <f t="shared" si="14"/>
        <v>1402.6666666666667</v>
      </c>
      <c r="G48" s="7"/>
      <c r="H48" s="84">
        <f t="shared" si="15"/>
        <v>391.47533333333337</v>
      </c>
      <c r="I48" s="84">
        <f t="shared" si="16"/>
        <v>40.808666666666667</v>
      </c>
      <c r="J48" s="86">
        <f t="shared" si="17"/>
        <v>350.66666666666669</v>
      </c>
      <c r="K48" s="142"/>
      <c r="L48" s="98" t="s">
        <v>242</v>
      </c>
      <c r="M48" s="134" t="s">
        <v>90</v>
      </c>
      <c r="N48" s="134">
        <v>5872.13</v>
      </c>
      <c r="O48" s="95">
        <v>0</v>
      </c>
      <c r="P48" s="98">
        <v>612.13</v>
      </c>
      <c r="Q48" s="98"/>
      <c r="R48" s="6"/>
      <c r="S48" s="6"/>
      <c r="T48" s="6"/>
      <c r="U48" s="6"/>
      <c r="V48" s="6"/>
      <c r="W48" s="6"/>
      <c r="X48" s="6"/>
      <c r="Y48" s="6"/>
      <c r="Z48" s="6"/>
      <c r="AA48" s="6"/>
      <c r="AB48" s="20"/>
      <c r="AC48" s="6"/>
      <c r="AD48" s="6"/>
      <c r="AE48" s="20"/>
    </row>
    <row r="49" spans="1:31" s="3" customFormat="1" ht="27" customHeight="1">
      <c r="A49" s="31">
        <v>12</v>
      </c>
      <c r="B49" s="10" t="str">
        <f t="shared" si="18"/>
        <v>JAUREGUI MARTINEZ CUAHUTEMOC</v>
      </c>
      <c r="C49" s="8" t="str">
        <f t="shared" si="13"/>
        <v>CHOFER</v>
      </c>
      <c r="D49" s="20">
        <f>H49*2.5</f>
        <v>976.6583333333333</v>
      </c>
      <c r="E49" s="20">
        <f>I49*2.5</f>
        <v>101.65833333333333</v>
      </c>
      <c r="F49" s="20">
        <f t="shared" si="14"/>
        <v>875</v>
      </c>
      <c r="G49" s="7"/>
      <c r="H49" s="84">
        <f t="shared" si="15"/>
        <v>390.6633333333333</v>
      </c>
      <c r="I49" s="84">
        <f t="shared" si="16"/>
        <v>40.663333333333334</v>
      </c>
      <c r="J49" s="86">
        <f t="shared" si="17"/>
        <v>349.99999999999994</v>
      </c>
      <c r="K49" s="142"/>
      <c r="L49" s="98" t="s">
        <v>277</v>
      </c>
      <c r="M49" s="134" t="s">
        <v>37</v>
      </c>
      <c r="N49" s="134">
        <v>5859.95</v>
      </c>
      <c r="O49" s="95">
        <v>0</v>
      </c>
      <c r="P49" s="98">
        <v>609.95000000000005</v>
      </c>
      <c r="Q49" s="98"/>
      <c r="R49" s="6"/>
      <c r="S49" s="6"/>
      <c r="T49" s="6"/>
      <c r="U49" s="6"/>
      <c r="V49" s="6"/>
      <c r="W49" s="6"/>
      <c r="X49" s="6"/>
      <c r="Y49" s="6"/>
      <c r="Z49" s="6"/>
      <c r="AA49" s="6"/>
      <c r="AB49" s="20"/>
      <c r="AC49" s="6"/>
      <c r="AD49" s="6"/>
      <c r="AE49" s="20"/>
    </row>
    <row r="50" spans="1:31" s="3" customFormat="1" ht="27" customHeight="1">
      <c r="A50" s="31">
        <v>13</v>
      </c>
      <c r="B50" s="10"/>
      <c r="C50" s="8" t="str">
        <f t="shared" si="13"/>
        <v>POLICIA DE LINEA</v>
      </c>
      <c r="D50" s="20">
        <f>H50*5</f>
        <v>1957.3766666666668</v>
      </c>
      <c r="E50" s="20">
        <f>I50*5</f>
        <v>204.04333333333335</v>
      </c>
      <c r="F50" s="20">
        <f t="shared" si="14"/>
        <v>1753.3333333333335</v>
      </c>
      <c r="G50" s="7"/>
      <c r="H50" s="84">
        <f t="shared" si="15"/>
        <v>391.47533333333337</v>
      </c>
      <c r="I50" s="84">
        <f t="shared" si="16"/>
        <v>40.808666666666667</v>
      </c>
      <c r="J50" s="86">
        <f t="shared" si="17"/>
        <v>350.66666666666669</v>
      </c>
      <c r="K50" s="142"/>
      <c r="L50" s="98" t="s">
        <v>159</v>
      </c>
      <c r="M50" s="134" t="s">
        <v>90</v>
      </c>
      <c r="N50" s="134">
        <v>5872.13</v>
      </c>
      <c r="O50" s="95">
        <v>0</v>
      </c>
      <c r="P50" s="98">
        <v>612.13</v>
      </c>
      <c r="Q50" s="98"/>
      <c r="R50" s="6"/>
      <c r="S50" s="6"/>
      <c r="T50" s="6"/>
      <c r="U50" s="6"/>
      <c r="V50" s="6"/>
      <c r="W50" s="6"/>
      <c r="X50" s="6"/>
      <c r="Y50" s="6"/>
      <c r="Z50" s="6"/>
      <c r="AA50" s="6"/>
      <c r="AB50" s="20"/>
      <c r="AC50" s="6"/>
      <c r="AD50" s="6"/>
      <c r="AE50" s="20"/>
    </row>
    <row r="51" spans="1:31" s="3" customFormat="1" ht="27" customHeight="1">
      <c r="A51" s="31">
        <v>14</v>
      </c>
      <c r="B51" s="10" t="str">
        <f t="shared" si="18"/>
        <v xml:space="preserve">MARIA GONZALEZ MARTIN </v>
      </c>
      <c r="C51" s="8" t="str">
        <f t="shared" si="13"/>
        <v>CHOFER DE AMBULANCIA</v>
      </c>
      <c r="D51" s="20">
        <f>H51*0.625</f>
        <v>244.16458333333333</v>
      </c>
      <c r="E51" s="20">
        <f>I51*0.625</f>
        <v>25.414583333333333</v>
      </c>
      <c r="F51" s="20">
        <f t="shared" si="14"/>
        <v>218.75</v>
      </c>
      <c r="G51" s="7"/>
      <c r="H51" s="84">
        <f t="shared" si="15"/>
        <v>390.6633333333333</v>
      </c>
      <c r="I51" s="84">
        <f t="shared" si="16"/>
        <v>40.663333333333334</v>
      </c>
      <c r="J51" s="86">
        <f t="shared" si="17"/>
        <v>349.99999999999994</v>
      </c>
      <c r="K51" s="142"/>
      <c r="L51" s="98" t="s">
        <v>278</v>
      </c>
      <c r="M51" s="134" t="s">
        <v>279</v>
      </c>
      <c r="N51" s="134">
        <v>5859.95</v>
      </c>
      <c r="O51" s="95">
        <v>0</v>
      </c>
      <c r="P51" s="98">
        <v>609.95000000000005</v>
      </c>
      <c r="Q51" s="98"/>
      <c r="R51" s="6"/>
      <c r="S51" s="6"/>
      <c r="T51" s="6"/>
      <c r="U51" s="6"/>
      <c r="V51" s="6"/>
      <c r="W51" s="6"/>
      <c r="X51" s="6"/>
      <c r="Y51" s="6"/>
      <c r="Z51" s="6"/>
      <c r="AA51" s="6"/>
      <c r="AB51" s="20"/>
      <c r="AC51" s="6"/>
      <c r="AD51" s="6"/>
      <c r="AE51" s="20"/>
    </row>
    <row r="52" spans="1:31" s="3" customFormat="1" ht="27" customHeight="1">
      <c r="A52" s="31">
        <v>15</v>
      </c>
      <c r="B52" s="10"/>
      <c r="C52" s="8" t="str">
        <f t="shared" si="13"/>
        <v>POLICIA DE LINEA</v>
      </c>
      <c r="D52" s="20">
        <f>H52*5</f>
        <v>1957.3766666666668</v>
      </c>
      <c r="E52" s="20">
        <f>I52*5</f>
        <v>204.04333333333335</v>
      </c>
      <c r="F52" s="20">
        <f t="shared" si="14"/>
        <v>1753.3333333333335</v>
      </c>
      <c r="G52" s="7"/>
      <c r="H52" s="84">
        <f t="shared" si="15"/>
        <v>391.47533333333337</v>
      </c>
      <c r="I52" s="84">
        <f t="shared" si="16"/>
        <v>40.808666666666667</v>
      </c>
      <c r="J52" s="86">
        <f t="shared" si="17"/>
        <v>350.66666666666669</v>
      </c>
      <c r="K52" s="142"/>
      <c r="L52" s="98" t="s">
        <v>178</v>
      </c>
      <c r="M52" s="134" t="s">
        <v>90</v>
      </c>
      <c r="N52" s="134">
        <v>5872.13</v>
      </c>
      <c r="O52" s="95">
        <v>0</v>
      </c>
      <c r="P52" s="98">
        <v>612.13</v>
      </c>
      <c r="Q52" s="98"/>
      <c r="R52" s="6"/>
      <c r="S52" s="6"/>
      <c r="T52" s="6"/>
      <c r="U52" s="6"/>
      <c r="V52" s="6"/>
      <c r="W52" s="6"/>
      <c r="X52" s="6"/>
      <c r="Y52" s="6"/>
      <c r="Z52" s="6"/>
      <c r="AA52" s="6"/>
      <c r="AB52" s="20"/>
      <c r="AC52" s="6"/>
      <c r="AD52" s="6"/>
      <c r="AE52" s="20"/>
    </row>
    <row r="53" spans="1:31" s="3" customFormat="1" ht="27" customHeight="1">
      <c r="A53" s="31">
        <v>16</v>
      </c>
      <c r="B53" s="10" t="str">
        <f t="shared" si="18"/>
        <v xml:space="preserve">MOJARRO GUTIERREZ RIGOBERTO </v>
      </c>
      <c r="C53" s="8" t="str">
        <f t="shared" si="13"/>
        <v>CHOFER DE AMBULANCIA</v>
      </c>
      <c r="D53" s="20">
        <f>H53*1.125</f>
        <v>439.49624999999997</v>
      </c>
      <c r="E53" s="20">
        <f>I53*1.125</f>
        <v>45.746250000000003</v>
      </c>
      <c r="F53" s="20">
        <f t="shared" si="14"/>
        <v>393.75</v>
      </c>
      <c r="G53" s="7"/>
      <c r="H53" s="84">
        <f t="shared" si="15"/>
        <v>390.6633333333333</v>
      </c>
      <c r="I53" s="84">
        <f t="shared" si="16"/>
        <v>40.663333333333334</v>
      </c>
      <c r="J53" s="86">
        <f t="shared" si="17"/>
        <v>349.99999999999994</v>
      </c>
      <c r="K53" s="142"/>
      <c r="L53" s="98" t="s">
        <v>280</v>
      </c>
      <c r="M53" s="134" t="s">
        <v>279</v>
      </c>
      <c r="N53" s="134">
        <v>5859.95</v>
      </c>
      <c r="O53" s="95">
        <v>0</v>
      </c>
      <c r="P53" s="98">
        <v>609.95000000000005</v>
      </c>
      <c r="Q53" s="98"/>
      <c r="R53" s="6"/>
      <c r="S53" s="6"/>
      <c r="T53" s="6"/>
      <c r="U53" s="6"/>
      <c r="V53" s="6"/>
      <c r="W53" s="6"/>
      <c r="X53" s="6"/>
      <c r="Y53" s="6"/>
      <c r="Z53" s="6"/>
      <c r="AA53" s="6"/>
      <c r="AB53" s="20"/>
      <c r="AC53" s="6"/>
      <c r="AD53" s="6"/>
      <c r="AE53" s="20"/>
    </row>
    <row r="54" spans="1:31" s="3" customFormat="1" ht="27" customHeight="1">
      <c r="A54" s="31">
        <v>17</v>
      </c>
      <c r="B54" s="10" t="str">
        <f t="shared" si="18"/>
        <v xml:space="preserve">MONTES NERI MIGUEL ANGEL </v>
      </c>
      <c r="C54" s="8" t="str">
        <f t="shared" si="13"/>
        <v>AUXILIAR DE PROTECCION CIVIL A</v>
      </c>
      <c r="D54" s="20">
        <f>H54*1.5</f>
        <v>465.01699999999994</v>
      </c>
      <c r="E54" s="20">
        <f>I54*1.5</f>
        <v>40.017000000000003</v>
      </c>
      <c r="F54" s="20">
        <f t="shared" si="14"/>
        <v>424.99999999999994</v>
      </c>
      <c r="G54" s="7"/>
      <c r="H54" s="84">
        <f t="shared" si="15"/>
        <v>310.01133333333331</v>
      </c>
      <c r="I54" s="84">
        <f t="shared" si="16"/>
        <v>26.678000000000001</v>
      </c>
      <c r="J54" s="86">
        <f t="shared" si="17"/>
        <v>283.33333333333331</v>
      </c>
      <c r="K54" s="142"/>
      <c r="L54" s="98" t="s">
        <v>281</v>
      </c>
      <c r="M54" s="134" t="s">
        <v>282</v>
      </c>
      <c r="N54" s="134">
        <v>4650.17</v>
      </c>
      <c r="O54" s="95">
        <v>0</v>
      </c>
      <c r="P54" s="98">
        <v>400.17</v>
      </c>
      <c r="Q54" s="98"/>
      <c r="R54" s="6"/>
      <c r="S54" s="6"/>
      <c r="T54" s="6"/>
      <c r="U54" s="6"/>
      <c r="V54" s="6"/>
      <c r="W54" s="6"/>
      <c r="X54" s="6"/>
      <c r="Y54" s="6"/>
      <c r="Z54" s="6"/>
      <c r="AA54" s="6"/>
      <c r="AB54" s="20"/>
      <c r="AC54" s="6"/>
      <c r="AD54" s="6"/>
      <c r="AE54" s="20"/>
    </row>
    <row r="55" spans="1:31" s="3" customFormat="1" ht="27" customHeight="1">
      <c r="A55" s="31">
        <v>18</v>
      </c>
      <c r="B55" s="10"/>
      <c r="C55" s="8" t="str">
        <f t="shared" si="13"/>
        <v>POLICIA DE LINEA</v>
      </c>
      <c r="D55" s="20">
        <f t="shared" ref="D55" si="20">H55</f>
        <v>391.47533333333337</v>
      </c>
      <c r="E55" s="20">
        <f t="shared" ref="E55" si="21">I55</f>
        <v>40.808666666666667</v>
      </c>
      <c r="F55" s="20">
        <f t="shared" si="14"/>
        <v>350.66666666666669</v>
      </c>
      <c r="G55" s="7"/>
      <c r="H55" s="84">
        <f t="shared" si="15"/>
        <v>391.47533333333337</v>
      </c>
      <c r="I55" s="84">
        <f t="shared" si="16"/>
        <v>40.808666666666667</v>
      </c>
      <c r="J55" s="86">
        <f t="shared" si="17"/>
        <v>350.66666666666669</v>
      </c>
      <c r="K55" s="142"/>
      <c r="L55" s="98" t="s">
        <v>100</v>
      </c>
      <c r="M55" s="134" t="s">
        <v>90</v>
      </c>
      <c r="N55" s="134">
        <v>5872.13</v>
      </c>
      <c r="O55" s="95">
        <v>0</v>
      </c>
      <c r="P55" s="98">
        <v>612.13</v>
      </c>
      <c r="Q55" s="98"/>
      <c r="R55" s="6"/>
      <c r="S55" s="6"/>
      <c r="T55" s="6"/>
      <c r="U55" s="6"/>
      <c r="V55" s="6"/>
      <c r="W55" s="6"/>
      <c r="X55" s="6"/>
      <c r="Y55" s="6"/>
      <c r="Z55" s="6"/>
      <c r="AA55" s="6"/>
      <c r="AB55" s="20"/>
      <c r="AC55" s="6"/>
      <c r="AD55" s="6"/>
      <c r="AE55" s="20"/>
    </row>
    <row r="56" spans="1:31" s="3" customFormat="1" ht="27" customHeight="1">
      <c r="A56" s="31">
        <v>19</v>
      </c>
      <c r="B56" s="10"/>
      <c r="C56" s="8" t="str">
        <f t="shared" si="13"/>
        <v>POLICIA DE LINEA</v>
      </c>
      <c r="D56" s="20">
        <f>H56*5</f>
        <v>1957.3766666666668</v>
      </c>
      <c r="E56" s="20">
        <f>I56*5</f>
        <v>204.04333333333335</v>
      </c>
      <c r="F56" s="20">
        <f t="shared" si="14"/>
        <v>1753.3333333333335</v>
      </c>
      <c r="G56" s="7"/>
      <c r="H56" s="84">
        <f t="shared" si="15"/>
        <v>391.47533333333337</v>
      </c>
      <c r="I56" s="84">
        <f t="shared" si="16"/>
        <v>40.808666666666667</v>
      </c>
      <c r="J56" s="86">
        <f t="shared" si="17"/>
        <v>350.66666666666669</v>
      </c>
      <c r="K56" s="142"/>
      <c r="L56" s="98" t="s">
        <v>256</v>
      </c>
      <c r="M56" s="134" t="s">
        <v>90</v>
      </c>
      <c r="N56" s="134">
        <v>5872.13</v>
      </c>
      <c r="O56" s="95">
        <v>0</v>
      </c>
      <c r="P56" s="98">
        <v>612.13</v>
      </c>
      <c r="Q56" s="98"/>
      <c r="R56" s="6"/>
      <c r="S56" s="6"/>
      <c r="T56" s="6"/>
      <c r="U56" s="6"/>
      <c r="V56" s="6"/>
      <c r="W56" s="6"/>
      <c r="X56" s="6"/>
      <c r="Y56" s="6"/>
      <c r="Z56" s="6"/>
      <c r="AA56" s="6"/>
      <c r="AB56" s="20"/>
      <c r="AC56" s="6"/>
      <c r="AD56" s="6"/>
      <c r="AE56" s="20"/>
    </row>
    <row r="57" spans="1:31" s="3" customFormat="1" ht="27" customHeight="1">
      <c r="A57" s="31">
        <v>20</v>
      </c>
      <c r="B57" s="10"/>
      <c r="C57" s="8" t="str">
        <f t="shared" si="13"/>
        <v>POLICIA DE LINEA</v>
      </c>
      <c r="D57" s="20">
        <f>H57*4</f>
        <v>1565.9013333333335</v>
      </c>
      <c r="E57" s="20">
        <f>I57*4</f>
        <v>163.23466666666667</v>
      </c>
      <c r="F57" s="20">
        <f t="shared" si="14"/>
        <v>1402.6666666666667</v>
      </c>
      <c r="G57" s="7"/>
      <c r="H57" s="84">
        <f t="shared" si="15"/>
        <v>391.47533333333337</v>
      </c>
      <c r="I57" s="84">
        <f t="shared" si="16"/>
        <v>40.808666666666667</v>
      </c>
      <c r="J57" s="86">
        <f t="shared" si="17"/>
        <v>350.66666666666669</v>
      </c>
      <c r="K57" s="142"/>
      <c r="L57" s="98" t="s">
        <v>205</v>
      </c>
      <c r="M57" s="134" t="s">
        <v>90</v>
      </c>
      <c r="N57" s="134">
        <v>5872.13</v>
      </c>
      <c r="O57" s="95">
        <v>0</v>
      </c>
      <c r="P57" s="98">
        <v>612.13</v>
      </c>
      <c r="Q57" s="98"/>
      <c r="R57" s="6"/>
      <c r="S57" s="6"/>
      <c r="T57" s="6"/>
      <c r="U57" s="6"/>
      <c r="V57" s="6"/>
      <c r="W57" s="6"/>
      <c r="X57" s="6"/>
      <c r="Y57" s="6"/>
      <c r="Z57" s="6"/>
      <c r="AA57" s="6"/>
      <c r="AB57" s="20"/>
      <c r="AC57" s="6"/>
      <c r="AD57" s="6"/>
      <c r="AE57" s="20"/>
    </row>
    <row r="58" spans="1:31" s="3" customFormat="1" ht="27" customHeight="1">
      <c r="A58" s="31">
        <v>21</v>
      </c>
      <c r="B58" s="10"/>
      <c r="C58" s="8" t="str">
        <f t="shared" si="13"/>
        <v>POLICIA DE LINEA</v>
      </c>
      <c r="D58" s="20">
        <f>H58*5</f>
        <v>1957.3766666666668</v>
      </c>
      <c r="E58" s="20">
        <f>I58*5</f>
        <v>204.04333333333335</v>
      </c>
      <c r="F58" s="20">
        <f t="shared" si="14"/>
        <v>1753.3333333333335</v>
      </c>
      <c r="G58" s="7"/>
      <c r="H58" s="84">
        <f t="shared" si="15"/>
        <v>391.47533333333337</v>
      </c>
      <c r="I58" s="84">
        <f t="shared" si="16"/>
        <v>40.808666666666667</v>
      </c>
      <c r="J58" s="86">
        <f t="shared" si="17"/>
        <v>350.66666666666669</v>
      </c>
      <c r="K58" s="142"/>
      <c r="L58" s="98" t="s">
        <v>162</v>
      </c>
      <c r="M58" s="134" t="s">
        <v>90</v>
      </c>
      <c r="N58" s="134">
        <v>5872.13</v>
      </c>
      <c r="O58" s="95">
        <v>0</v>
      </c>
      <c r="P58" s="98">
        <v>612.13</v>
      </c>
      <c r="Q58" s="98"/>
      <c r="R58" s="6"/>
      <c r="S58" s="6"/>
      <c r="T58" s="6"/>
      <c r="U58" s="6"/>
      <c r="V58" s="6"/>
      <c r="W58" s="6"/>
      <c r="X58" s="6"/>
      <c r="Y58" s="6"/>
      <c r="Z58" s="6"/>
      <c r="AA58" s="6"/>
      <c r="AB58" s="20"/>
      <c r="AC58" s="6"/>
      <c r="AD58" s="6"/>
      <c r="AE58" s="20"/>
    </row>
    <row r="59" spans="1:31" s="3" customFormat="1" ht="27" customHeight="1">
      <c r="A59" s="31">
        <v>22</v>
      </c>
      <c r="B59" s="10"/>
      <c r="C59" s="8" t="str">
        <f t="shared" si="13"/>
        <v>POLICIA DE LINEA</v>
      </c>
      <c r="D59" s="20">
        <f>H59*4</f>
        <v>1565.9013333333335</v>
      </c>
      <c r="E59" s="20">
        <f>I59*4</f>
        <v>163.23466666666667</v>
      </c>
      <c r="F59" s="20">
        <f t="shared" si="14"/>
        <v>1402.6666666666667</v>
      </c>
      <c r="G59" s="7"/>
      <c r="H59" s="84">
        <f t="shared" si="15"/>
        <v>391.47533333333337</v>
      </c>
      <c r="I59" s="84">
        <f t="shared" si="16"/>
        <v>40.808666666666667</v>
      </c>
      <c r="J59" s="86">
        <f t="shared" si="17"/>
        <v>350.66666666666669</v>
      </c>
      <c r="K59" s="142"/>
      <c r="L59" s="98" t="s">
        <v>164</v>
      </c>
      <c r="M59" s="134" t="s">
        <v>90</v>
      </c>
      <c r="N59" s="134">
        <v>5872.13</v>
      </c>
      <c r="O59" s="95">
        <v>0</v>
      </c>
      <c r="P59" s="98">
        <v>612.13</v>
      </c>
      <c r="Q59" s="98"/>
      <c r="R59" s="6"/>
      <c r="S59" s="6"/>
      <c r="T59" s="6"/>
      <c r="U59" s="6"/>
      <c r="V59" s="6"/>
      <c r="W59" s="6"/>
      <c r="X59" s="6"/>
      <c r="Y59" s="6"/>
      <c r="Z59" s="6"/>
      <c r="AA59" s="6"/>
      <c r="AB59" s="20"/>
      <c r="AC59" s="6"/>
      <c r="AD59" s="6"/>
      <c r="AE59" s="20"/>
    </row>
    <row r="60" spans="1:31" s="3" customFormat="1" ht="27" customHeight="1">
      <c r="A60" s="31">
        <v>23</v>
      </c>
      <c r="B60" s="10" t="str">
        <f t="shared" si="18"/>
        <v xml:space="preserve">SOUZA SANCHEZ JOSE ANTONIO </v>
      </c>
      <c r="C60" s="8" t="str">
        <f t="shared" si="13"/>
        <v>AUXILIAR DE PROTECCION CIVIL B</v>
      </c>
      <c r="D60" s="20">
        <f>H60*1.875</f>
        <v>544.06875000000002</v>
      </c>
      <c r="E60" s="20">
        <f>I60*1.875</f>
        <v>44.068750000000001</v>
      </c>
      <c r="F60" s="20">
        <f t="shared" si="14"/>
        <v>500</v>
      </c>
      <c r="G60" s="7"/>
      <c r="H60" s="84">
        <f t="shared" si="15"/>
        <v>290.17</v>
      </c>
      <c r="I60" s="84">
        <f t="shared" si="16"/>
        <v>23.503333333333334</v>
      </c>
      <c r="J60" s="86">
        <f t="shared" si="17"/>
        <v>266.66666666666669</v>
      </c>
      <c r="K60" s="142"/>
      <c r="L60" s="98" t="s">
        <v>283</v>
      </c>
      <c r="M60" s="134" t="s">
        <v>272</v>
      </c>
      <c r="N60" s="134">
        <v>4352.55</v>
      </c>
      <c r="O60" s="95">
        <v>0</v>
      </c>
      <c r="P60" s="98">
        <v>352.55</v>
      </c>
      <c r="Q60" s="98"/>
      <c r="R60" s="6"/>
      <c r="S60" s="6"/>
      <c r="T60" s="6"/>
      <c r="U60" s="6"/>
      <c r="V60" s="6"/>
      <c r="W60" s="6"/>
      <c r="X60" s="6"/>
      <c r="Y60" s="6"/>
      <c r="Z60" s="6"/>
      <c r="AA60" s="6"/>
      <c r="AB60" s="20"/>
      <c r="AC60" s="6"/>
      <c r="AD60" s="6"/>
      <c r="AE60" s="20"/>
    </row>
    <row r="61" spans="1:31" s="3" customFormat="1" ht="27" customHeight="1">
      <c r="A61" s="31">
        <v>24</v>
      </c>
      <c r="B61" s="10" t="str">
        <f t="shared" si="18"/>
        <v xml:space="preserve">VAZQUEZ CAMACHO CRISTIAN VIDAL </v>
      </c>
      <c r="C61" s="8" t="str">
        <f t="shared" si="13"/>
        <v>AUXILIAR DE PROTECCION CIVIL B</v>
      </c>
      <c r="D61" s="20">
        <f>H61*1.875</f>
        <v>581.27125000000001</v>
      </c>
      <c r="E61" s="20">
        <f>I61*1.875</f>
        <v>50.021250000000002</v>
      </c>
      <c r="F61" s="20">
        <f t="shared" si="14"/>
        <v>531.25</v>
      </c>
      <c r="G61" s="7"/>
      <c r="H61" s="84">
        <f t="shared" si="15"/>
        <v>310.01133333333331</v>
      </c>
      <c r="I61" s="84">
        <f t="shared" si="16"/>
        <v>26.678000000000001</v>
      </c>
      <c r="J61" s="86">
        <f t="shared" si="17"/>
        <v>283.33333333333331</v>
      </c>
      <c r="K61" s="142"/>
      <c r="L61" s="98" t="s">
        <v>284</v>
      </c>
      <c r="M61" s="134" t="s">
        <v>272</v>
      </c>
      <c r="N61" s="134">
        <v>4650.17</v>
      </c>
      <c r="O61" s="95">
        <v>0</v>
      </c>
      <c r="P61" s="98">
        <v>400.17</v>
      </c>
      <c r="Q61" s="98"/>
      <c r="R61" s="6"/>
      <c r="S61" s="6"/>
      <c r="T61" s="6"/>
      <c r="U61" s="6"/>
      <c r="V61" s="6"/>
      <c r="W61" s="6"/>
      <c r="X61" s="6"/>
      <c r="Y61" s="6"/>
      <c r="Z61" s="6"/>
      <c r="AA61" s="6"/>
      <c r="AB61" s="20"/>
      <c r="AC61" s="6"/>
      <c r="AD61" s="6"/>
      <c r="AE61" s="20"/>
    </row>
    <row r="62" spans="1:31" s="3" customFormat="1" ht="27" customHeight="1">
      <c r="A62" s="31">
        <v>25</v>
      </c>
      <c r="B62" s="10" t="str">
        <f t="shared" si="18"/>
        <v xml:space="preserve">VAZQUEZ HUERTA EDGARDO ALEJANDRO </v>
      </c>
      <c r="C62" s="8" t="str">
        <f t="shared" si="13"/>
        <v>JEFE DE DEPARTAMENTO DE PROTECCION CIVIL</v>
      </c>
      <c r="D62" s="20">
        <f>H62*3.375</f>
        <v>1388.5875000000001</v>
      </c>
      <c r="E62" s="20">
        <f>I62*3.375</f>
        <v>151.08750000000001</v>
      </c>
      <c r="F62" s="20">
        <f t="shared" si="14"/>
        <v>1237.5</v>
      </c>
      <c r="G62" s="7"/>
      <c r="H62" s="84">
        <f t="shared" si="15"/>
        <v>411.43333333333334</v>
      </c>
      <c r="I62" s="84">
        <f t="shared" si="16"/>
        <v>44.766666666666666</v>
      </c>
      <c r="J62" s="86">
        <f t="shared" si="17"/>
        <v>366.66666666666669</v>
      </c>
      <c r="K62" s="142"/>
      <c r="L62" s="98" t="s">
        <v>285</v>
      </c>
      <c r="M62" s="134" t="s">
        <v>286</v>
      </c>
      <c r="N62" s="134">
        <v>6171.5</v>
      </c>
      <c r="O62" s="95">
        <v>0</v>
      </c>
      <c r="P62" s="98">
        <v>671.5</v>
      </c>
      <c r="Q62" s="98"/>
      <c r="R62" s="6"/>
      <c r="S62" s="6"/>
      <c r="T62" s="6"/>
      <c r="U62" s="6"/>
      <c r="V62" s="6"/>
      <c r="W62" s="6"/>
      <c r="X62" s="6"/>
      <c r="Y62" s="6"/>
      <c r="Z62" s="6"/>
      <c r="AA62" s="6"/>
      <c r="AB62" s="20"/>
      <c r="AC62" s="6"/>
      <c r="AD62" s="6"/>
      <c r="AE62" s="20"/>
    </row>
    <row r="63" spans="1:31" s="3" customFormat="1" ht="27" customHeight="1">
      <c r="A63" s="31">
        <v>26</v>
      </c>
      <c r="B63" s="10" t="str">
        <f t="shared" si="18"/>
        <v xml:space="preserve">VAZQUEZ HUERTA GONZALO </v>
      </c>
      <c r="C63" s="8" t="str">
        <f t="shared" si="13"/>
        <v>AUXILIAR DE PROTECCION CIVIL B</v>
      </c>
      <c r="D63" s="20">
        <f>H63*1.5</f>
        <v>435.255</v>
      </c>
      <c r="E63" s="20">
        <f>I63*1.5</f>
        <v>35.255000000000003</v>
      </c>
      <c r="F63" s="20">
        <f t="shared" si="14"/>
        <v>400</v>
      </c>
      <c r="G63" s="7"/>
      <c r="H63" s="84">
        <f t="shared" si="15"/>
        <v>290.17</v>
      </c>
      <c r="I63" s="84">
        <f t="shared" si="16"/>
        <v>23.503333333333334</v>
      </c>
      <c r="J63" s="86">
        <f t="shared" si="17"/>
        <v>266.66666666666669</v>
      </c>
      <c r="K63" s="142"/>
      <c r="L63" s="98" t="s">
        <v>287</v>
      </c>
      <c r="M63" s="134" t="s">
        <v>272</v>
      </c>
      <c r="N63" s="134">
        <v>4352.55</v>
      </c>
      <c r="O63" s="95">
        <v>0</v>
      </c>
      <c r="P63" s="98">
        <v>352.55</v>
      </c>
      <c r="Q63" s="98"/>
      <c r="R63" s="6"/>
      <c r="S63" s="6"/>
      <c r="T63" s="6"/>
      <c r="U63" s="6"/>
      <c r="V63" s="6"/>
      <c r="W63" s="6"/>
      <c r="X63" s="6"/>
      <c r="Y63" s="6"/>
      <c r="Z63" s="6"/>
      <c r="AA63" s="6"/>
      <c r="AB63" s="20"/>
      <c r="AC63" s="6"/>
      <c r="AD63" s="6"/>
      <c r="AE63" s="20"/>
    </row>
    <row r="64" spans="1:31" s="3" customFormat="1" ht="27" customHeight="1">
      <c r="A64" s="31">
        <v>27</v>
      </c>
      <c r="B64" s="10"/>
      <c r="C64" s="8"/>
      <c r="D64" s="20"/>
      <c r="E64" s="20"/>
      <c r="F64" s="20"/>
      <c r="G64" s="7"/>
      <c r="H64" s="84"/>
      <c r="I64" s="84"/>
      <c r="J64" s="86"/>
      <c r="K64" s="142"/>
      <c r="L64" s="98"/>
      <c r="M64" s="134"/>
      <c r="N64" s="134"/>
      <c r="O64" s="95"/>
      <c r="P64" s="98"/>
      <c r="Q64" s="98"/>
      <c r="R64" s="6"/>
      <c r="S64" s="6"/>
      <c r="T64" s="6"/>
      <c r="U64" s="6"/>
      <c r="V64" s="6"/>
      <c r="W64" s="6"/>
      <c r="X64" s="6"/>
      <c r="Y64" s="6"/>
      <c r="Z64" s="6"/>
      <c r="AA64" s="6"/>
      <c r="AB64" s="20"/>
      <c r="AC64" s="6"/>
      <c r="AD64" s="6"/>
      <c r="AE64" s="20"/>
    </row>
    <row r="65" spans="1:34" s="3" customFormat="1" ht="27" customHeight="1">
      <c r="A65" s="31"/>
      <c r="B65" s="10"/>
      <c r="C65" s="67" t="s">
        <v>165</v>
      </c>
      <c r="D65" s="63">
        <f>SUM(D38:D64)</f>
        <v>29829.576666666671</v>
      </c>
      <c r="E65" s="63">
        <f t="shared" ref="E65:F65" si="22">SUM(E38:E64)</f>
        <v>3088.6600000000008</v>
      </c>
      <c r="F65" s="63">
        <f t="shared" si="22"/>
        <v>26740.916666666668</v>
      </c>
      <c r="G65" s="7"/>
      <c r="H65" s="84"/>
      <c r="I65" s="84"/>
      <c r="J65" s="157"/>
      <c r="K65" s="134"/>
      <c r="L65" s="134"/>
      <c r="M65" s="134"/>
      <c r="N65" s="97"/>
      <c r="O65" s="95"/>
      <c r="P65" s="95"/>
      <c r="Q65" s="98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20"/>
      <c r="AD65" s="6"/>
      <c r="AE65" s="6"/>
      <c r="AF65" s="20"/>
    </row>
    <row r="66" spans="1:34" s="3" customFormat="1" ht="27" customHeight="1">
      <c r="A66" s="31"/>
      <c r="B66" s="10"/>
      <c r="C66" s="6"/>
      <c r="D66" s="20"/>
      <c r="E66" s="20"/>
      <c r="F66" s="20"/>
      <c r="G66" s="7"/>
      <c r="H66" s="84"/>
      <c r="I66" s="84"/>
      <c r="J66" s="157"/>
      <c r="K66" s="134"/>
      <c r="L66" s="134"/>
      <c r="M66" s="134"/>
      <c r="N66" s="97"/>
      <c r="O66" s="95"/>
      <c r="P66" s="95"/>
      <c r="Q66" s="98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20"/>
      <c r="AD66" s="6"/>
      <c r="AE66" s="6"/>
      <c r="AF66" s="20"/>
    </row>
    <row r="67" spans="1:34" s="3" customFormat="1" ht="27" customHeight="1">
      <c r="A67" s="31"/>
      <c r="B67" s="10" t="s">
        <v>289</v>
      </c>
      <c r="C67" s="6"/>
      <c r="D67" s="20"/>
      <c r="E67" s="20"/>
      <c r="F67" s="20"/>
      <c r="G67" s="7"/>
      <c r="H67" s="84"/>
      <c r="I67" s="84"/>
      <c r="J67" s="157"/>
      <c r="K67" s="134"/>
      <c r="L67" s="134"/>
      <c r="M67" s="134"/>
      <c r="N67" s="134"/>
      <c r="O67" s="95"/>
      <c r="P67" s="97"/>
      <c r="Q67" s="98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20"/>
      <c r="AE67" s="6"/>
      <c r="AF67" s="6"/>
      <c r="AG67" s="20"/>
    </row>
    <row r="68" spans="1:34" s="3" customFormat="1" ht="27" customHeight="1">
      <c r="A68" s="31"/>
      <c r="B68" s="10" t="str">
        <f>+B27</f>
        <v>IXTLAHUACAN DEL RIO JALISCO A 30 DE SEPTIEMBRE DE 2019</v>
      </c>
      <c r="C68" s="6"/>
      <c r="D68" s="20"/>
      <c r="E68" s="20"/>
      <c r="F68" s="20"/>
      <c r="G68" s="7"/>
      <c r="H68" s="84"/>
      <c r="I68" s="84"/>
      <c r="J68" s="157"/>
      <c r="K68" s="134"/>
      <c r="L68" s="134"/>
      <c r="M68" s="134"/>
      <c r="N68" s="134"/>
      <c r="O68" s="95"/>
      <c r="P68" s="97"/>
      <c r="Q68" s="98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20"/>
      <c r="AE68" s="6"/>
      <c r="AF68" s="6"/>
      <c r="AG68" s="20"/>
    </row>
    <row r="69" spans="1:34" s="3" customFormat="1" ht="27" customHeight="1">
      <c r="A69" s="31"/>
      <c r="B69" s="10"/>
      <c r="C69" s="6"/>
      <c r="D69" s="20"/>
      <c r="E69" s="20"/>
      <c r="F69" s="20"/>
      <c r="G69" s="7"/>
      <c r="H69" s="84"/>
      <c r="I69" s="84"/>
      <c r="J69" s="157"/>
      <c r="K69" s="134"/>
      <c r="L69" s="134"/>
      <c r="M69" s="134"/>
      <c r="N69" s="134"/>
      <c r="O69" s="95"/>
      <c r="P69" s="97"/>
      <c r="Q69" s="98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20"/>
      <c r="AE69" s="6"/>
      <c r="AF69" s="6"/>
      <c r="AG69" s="20"/>
    </row>
    <row r="70" spans="1:34" s="3" customFormat="1" ht="27" customHeight="1">
      <c r="A70" s="31"/>
      <c r="B70" s="10"/>
      <c r="C70" s="6"/>
      <c r="D70" s="20"/>
      <c r="E70" s="20"/>
      <c r="F70" s="20"/>
      <c r="G70" s="7"/>
      <c r="H70" s="84"/>
      <c r="I70" s="84"/>
      <c r="J70" s="157"/>
      <c r="K70" s="134"/>
      <c r="L70" s="134"/>
      <c r="M70" s="134"/>
      <c r="N70" s="134"/>
      <c r="O70" s="95"/>
      <c r="P70" s="97"/>
      <c r="Q70" s="98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20"/>
      <c r="AE70" s="6"/>
      <c r="AF70" s="6"/>
      <c r="AG70" s="20"/>
    </row>
    <row r="71" spans="1:34" s="3" customFormat="1" ht="27" customHeight="1">
      <c r="A71" s="31"/>
      <c r="B71" s="10"/>
      <c r="C71" s="6"/>
      <c r="D71" s="20"/>
      <c r="E71" s="20"/>
      <c r="F71" s="20"/>
      <c r="G71" s="7"/>
      <c r="H71" s="84"/>
      <c r="I71" s="84"/>
      <c r="J71" s="157"/>
      <c r="K71" s="134"/>
      <c r="L71" s="134"/>
      <c r="M71" s="134"/>
      <c r="N71" s="134"/>
      <c r="O71" s="97"/>
      <c r="P71" s="134"/>
      <c r="Q71" s="95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20"/>
      <c r="AF71" s="6"/>
      <c r="AG71" s="6"/>
      <c r="AH71" s="20"/>
    </row>
    <row r="72" spans="1:34" s="3" customFormat="1" ht="27" customHeight="1">
      <c r="A72" s="9"/>
      <c r="B72" s="10"/>
      <c r="C72" s="26"/>
      <c r="D72" s="4"/>
      <c r="E72" s="4"/>
      <c r="F72" s="4"/>
      <c r="G72" s="7"/>
      <c r="H72" s="84"/>
      <c r="I72" s="91"/>
      <c r="J72" s="157"/>
      <c r="K72" s="87"/>
      <c r="L72" s="110"/>
      <c r="M72" s="118"/>
      <c r="N72" s="118"/>
      <c r="O72" s="131"/>
      <c r="P72" s="118"/>
      <c r="Q72" s="95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20"/>
      <c r="AF72" s="6"/>
      <c r="AG72" s="6"/>
      <c r="AH72" s="20"/>
    </row>
    <row r="73" spans="1:34" s="3" customFormat="1" ht="27" customHeight="1">
      <c r="A73" s="9"/>
      <c r="B73" s="10"/>
      <c r="C73" s="26"/>
      <c r="D73" s="32"/>
      <c r="E73" s="32"/>
      <c r="F73" s="32"/>
      <c r="G73" s="7"/>
      <c r="H73" s="84"/>
      <c r="I73" s="91"/>
      <c r="J73" s="157"/>
      <c r="K73" s="87"/>
      <c r="L73" s="110"/>
      <c r="M73" s="118"/>
      <c r="N73" s="118"/>
      <c r="O73" s="131"/>
      <c r="P73" s="118"/>
      <c r="Q73" s="95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20"/>
      <c r="AF73" s="6"/>
      <c r="AG73" s="6"/>
      <c r="AH73" s="20"/>
    </row>
    <row r="74" spans="1:34" s="3" customFormat="1" ht="27" customHeight="1">
      <c r="A74" s="9"/>
      <c r="C74" s="30"/>
      <c r="D74" s="4"/>
      <c r="E74" s="4"/>
      <c r="F74" s="4"/>
      <c r="G74" s="7" t="s">
        <v>18</v>
      </c>
      <c r="H74" s="84"/>
      <c r="I74" s="91"/>
      <c r="J74" s="157">
        <f>SUM(H74-I74)</f>
        <v>0</v>
      </c>
      <c r="K74" s="87"/>
      <c r="L74" s="110"/>
      <c r="M74" s="118"/>
      <c r="N74" s="120"/>
      <c r="O74" s="131"/>
      <c r="P74" s="131"/>
      <c r="Q74" s="95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20"/>
      <c r="AF74" s="6"/>
      <c r="AG74" s="6"/>
      <c r="AH74" s="20"/>
    </row>
    <row r="75" spans="1:34" s="3" customFormat="1" ht="27" customHeight="1">
      <c r="A75" s="9"/>
      <c r="C75" s="26"/>
      <c r="D75" s="4"/>
      <c r="E75" s="4"/>
      <c r="F75" s="4"/>
      <c r="G75" s="7" t="s">
        <v>18</v>
      </c>
      <c r="H75" s="84"/>
      <c r="I75" s="91"/>
      <c r="J75" s="157">
        <f>SUM(H75-I75)</f>
        <v>0</v>
      </c>
      <c r="K75" s="87"/>
      <c r="L75" s="109"/>
      <c r="M75" s="95"/>
      <c r="N75" s="117"/>
      <c r="O75" s="131"/>
      <c r="P75" s="131"/>
      <c r="Q75" s="95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20"/>
      <c r="AF75" s="6"/>
      <c r="AG75" s="6"/>
      <c r="AH75" s="20"/>
    </row>
    <row r="76" spans="1:34" s="3" customFormat="1" ht="27" customHeight="1">
      <c r="A76" s="9"/>
      <c r="B76" s="10"/>
      <c r="C76" s="26"/>
      <c r="D76" s="28"/>
      <c r="E76" s="28"/>
      <c r="F76" s="21"/>
      <c r="G76" s="7" t="s">
        <v>18</v>
      </c>
      <c r="H76" s="91"/>
      <c r="I76" s="91"/>
      <c r="J76" s="157"/>
      <c r="K76" s="98"/>
      <c r="L76" s="98"/>
      <c r="M76" s="95"/>
      <c r="N76" s="117"/>
      <c r="O76" s="131"/>
      <c r="P76" s="131"/>
      <c r="Q76" s="95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20"/>
      <c r="AF76" s="6"/>
      <c r="AG76" s="6"/>
      <c r="AH76" s="20"/>
    </row>
    <row r="84" spans="3:6" ht="27" customHeight="1">
      <c r="D84" s="20"/>
      <c r="E84" s="20"/>
      <c r="F84" s="20"/>
    </row>
    <row r="85" spans="3:6" ht="27" customHeight="1">
      <c r="D85" s="20"/>
      <c r="E85" s="20"/>
      <c r="F85" s="20"/>
    </row>
    <row r="86" spans="3:6" ht="27" customHeight="1">
      <c r="D86" s="20"/>
      <c r="E86" s="20"/>
      <c r="F86" s="20"/>
    </row>
    <row r="87" spans="3:6" ht="27" customHeight="1">
      <c r="D87" s="20"/>
      <c r="E87" s="20"/>
      <c r="F87" s="20"/>
    </row>
    <row r="88" spans="3:6" ht="27" customHeight="1">
      <c r="C88" s="62"/>
      <c r="D88" s="63"/>
      <c r="E88" s="63"/>
      <c r="F88" s="63"/>
    </row>
  </sheetData>
  <mergeCells count="8">
    <mergeCell ref="A35:G35"/>
    <mergeCell ref="A36:G36"/>
    <mergeCell ref="A1:G1"/>
    <mergeCell ref="A2:G2"/>
    <mergeCell ref="A3:G3"/>
    <mergeCell ref="A4:G4"/>
    <mergeCell ref="A33:G33"/>
    <mergeCell ref="A34:G34"/>
  </mergeCells>
  <pageMargins left="0.23622047244094491" right="0.23622047244094491" top="0.74803149606299213" bottom="0.74803149606299213" header="0.31496062992125984" footer="0.31496062992125984"/>
  <pageSetup scale="3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4"/>
  <sheetViews>
    <sheetView zoomScale="80" zoomScaleNormal="80" workbookViewId="0">
      <selection activeCell="B39" sqref="B39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59.5703125" style="30" bestFit="1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37" style="6" customWidth="1"/>
    <col min="8" max="8" width="11.5703125" style="84" bestFit="1" customWidth="1"/>
    <col min="9" max="9" width="9.5703125" style="91" customWidth="1"/>
    <col min="10" max="10" width="17.5703125" style="157" customWidth="1"/>
    <col min="11" max="11" width="16.7109375" style="87" customWidth="1"/>
    <col min="12" max="12" width="23.42578125" style="109" customWidth="1"/>
    <col min="13" max="13" width="9.7109375" style="95" customWidth="1"/>
    <col min="14" max="14" width="10.140625" style="117" bestFit="1" customWidth="1"/>
    <col min="15" max="15" width="9.42578125" style="131" bestFit="1" customWidth="1"/>
    <col min="16" max="16" width="8.140625" style="131" bestFit="1" customWidth="1"/>
    <col min="17" max="17" width="11.7109375" style="2" customWidth="1"/>
    <col min="18" max="18" width="6.85546875" style="6" customWidth="1"/>
    <col min="19" max="19" width="13.85546875" style="6" customWidth="1"/>
    <col min="20" max="20" width="11.7109375" style="6" customWidth="1"/>
    <col min="21" max="21" width="43.42578125" style="6" customWidth="1"/>
    <col min="22" max="30" width="11.7109375" style="6" customWidth="1"/>
    <col min="31" max="31" width="11.7109375" style="20" customWidth="1"/>
    <col min="32" max="33" width="11.7109375" style="6" customWidth="1"/>
    <col min="34" max="34" width="11.7109375" style="20" customWidth="1"/>
    <col min="35" max="35" width="11.7109375" style="6" customWidth="1"/>
    <col min="36" max="36" width="2.28515625" style="6" customWidth="1"/>
    <col min="37" max="37" width="15.5703125" style="6" customWidth="1"/>
    <col min="38" max="38" width="11.42578125" style="6" customWidth="1"/>
    <col min="39" max="39" width="11.42578125" style="6"/>
    <col min="40" max="40" width="11.42578125" style="6" customWidth="1"/>
    <col min="41" max="41" width="42.28515625" style="6" customWidth="1"/>
    <col min="42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153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263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s="3" customFormat="1" ht="27" customHeight="1">
      <c r="A7" s="31">
        <v>1</v>
      </c>
      <c r="B7" s="8" t="str">
        <f t="shared" ref="B7:C7" si="0">+L7</f>
        <v xml:space="preserve">GOMEZ HUERTA JOSE LUIS </v>
      </c>
      <c r="C7" s="71" t="str">
        <f t="shared" si="0"/>
        <v xml:space="preserve">DEPARTAMENTO DE PARQUES UNIDADES DEPORTIVAS Y  JARDINES </v>
      </c>
      <c r="D7" s="20">
        <f>H7</f>
        <v>290.17</v>
      </c>
      <c r="E7" s="20">
        <f>I7</f>
        <v>23.503333333333334</v>
      </c>
      <c r="F7" s="20">
        <f t="shared" ref="F7" si="1">D7-E7</f>
        <v>266.66666666666669</v>
      </c>
      <c r="G7" s="7"/>
      <c r="H7" s="84">
        <f>+N7/15</f>
        <v>290.17</v>
      </c>
      <c r="I7" s="84">
        <f>+P7/15</f>
        <v>23.503333333333334</v>
      </c>
      <c r="J7" s="157">
        <f t="shared" ref="J7" si="2">+H7-I7</f>
        <v>266.66666666666669</v>
      </c>
      <c r="K7" s="142"/>
      <c r="L7" s="98" t="s">
        <v>113</v>
      </c>
      <c r="M7" s="148" t="s">
        <v>114</v>
      </c>
      <c r="N7" s="134">
        <v>4352.55</v>
      </c>
      <c r="O7" s="134">
        <v>0</v>
      </c>
      <c r="P7" s="97">
        <v>352.55</v>
      </c>
      <c r="Q7" s="2"/>
      <c r="R7" s="2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20"/>
      <c r="AG7" s="6"/>
      <c r="AH7" s="6"/>
      <c r="AI7" s="20"/>
    </row>
    <row r="8" spans="1:35" s="3" customFormat="1" ht="27" customHeight="1">
      <c r="A8" s="31">
        <v>2</v>
      </c>
      <c r="B8" s="8" t="s">
        <v>115</v>
      </c>
      <c r="C8" s="160" t="s">
        <v>116</v>
      </c>
      <c r="D8" s="4">
        <f>H8</f>
        <v>299.04000000000002</v>
      </c>
      <c r="E8" s="4">
        <f>I8</f>
        <v>24.922613333333342</v>
      </c>
      <c r="F8" s="2">
        <f t="shared" ref="F8" si="3">D8-E8</f>
        <v>274.11738666666668</v>
      </c>
      <c r="G8" s="24"/>
      <c r="H8" s="84">
        <f>+O8/30</f>
        <v>299.04000000000002</v>
      </c>
      <c r="I8" s="91">
        <f t="shared" ref="I8" si="4">+P8/30</f>
        <v>24.922613333333342</v>
      </c>
      <c r="J8" s="86">
        <f t="shared" ref="J8" si="5">SUM(H8-I8)</f>
        <v>274.11738666666668</v>
      </c>
      <c r="K8" s="142"/>
      <c r="L8" s="98" t="s">
        <v>115</v>
      </c>
      <c r="M8" s="143"/>
      <c r="N8" s="144" t="s">
        <v>116</v>
      </c>
      <c r="O8" s="97">
        <v>8971.2000000000007</v>
      </c>
      <c r="P8" s="97">
        <v>747.67840000000024</v>
      </c>
      <c r="Q8" s="2"/>
      <c r="R8" s="2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6"/>
      <c r="AH8" s="6"/>
      <c r="AI8" s="20"/>
    </row>
    <row r="9" spans="1:35" s="3" customFormat="1" ht="27" customHeight="1">
      <c r="A9" s="31"/>
      <c r="B9" s="10"/>
      <c r="C9" s="6"/>
      <c r="D9" s="20"/>
      <c r="E9" s="20"/>
      <c r="F9" s="20"/>
      <c r="G9" s="24"/>
      <c r="H9" s="84"/>
      <c r="I9" s="84"/>
      <c r="J9" s="86"/>
      <c r="K9" s="149"/>
      <c r="L9" s="134"/>
      <c r="M9" s="148"/>
      <c r="N9" s="134"/>
      <c r="O9" s="134"/>
      <c r="P9" s="134"/>
      <c r="Q9" s="2"/>
      <c r="R9" s="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0"/>
      <c r="AG9" s="6"/>
      <c r="AH9" s="6"/>
      <c r="AI9" s="20"/>
    </row>
    <row r="10" spans="1:35" s="3" customFormat="1" ht="27" customHeight="1">
      <c r="A10" s="31"/>
      <c r="B10" s="10"/>
      <c r="C10" s="13"/>
      <c r="D10" s="4"/>
      <c r="E10" s="4"/>
      <c r="F10" s="2"/>
      <c r="G10" s="24"/>
      <c r="H10" s="84"/>
      <c r="I10" s="91"/>
      <c r="J10" s="86"/>
      <c r="K10" s="142"/>
      <c r="L10" s="98"/>
      <c r="M10" s="143"/>
      <c r="N10" s="144"/>
      <c r="O10" s="97"/>
      <c r="P10" s="97"/>
      <c r="Q10" s="2"/>
      <c r="R10" s="2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0"/>
      <c r="AG10" s="6"/>
      <c r="AH10" s="6"/>
      <c r="AI10" s="20"/>
    </row>
    <row r="11" spans="1:35" s="3" customFormat="1" ht="27" customHeight="1">
      <c r="A11" s="31"/>
      <c r="B11" s="10"/>
      <c r="C11" s="29"/>
      <c r="D11" s="20"/>
      <c r="E11" s="20"/>
      <c r="F11" s="20"/>
      <c r="G11" s="24"/>
      <c r="H11" s="84"/>
      <c r="I11" s="91"/>
      <c r="J11" s="86"/>
      <c r="K11" s="96"/>
      <c r="L11" s="98"/>
      <c r="M11" s="95"/>
      <c r="N11" s="117"/>
      <c r="O11" s="131"/>
      <c r="P11" s="131"/>
      <c r="Q11" s="2"/>
      <c r="R11" s="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0"/>
      <c r="AG11" s="6"/>
      <c r="AH11" s="6"/>
      <c r="AI11" s="20"/>
    </row>
    <row r="12" spans="1:35" s="3" customFormat="1" ht="27" customHeight="1">
      <c r="A12" s="31"/>
      <c r="B12" s="10"/>
      <c r="C12" s="6"/>
      <c r="D12" s="20"/>
      <c r="E12" s="20"/>
      <c r="F12" s="20"/>
      <c r="G12" s="7"/>
      <c r="H12" s="84"/>
      <c r="I12" s="84"/>
      <c r="J12" s="157"/>
      <c r="K12" s="142"/>
      <c r="L12" s="146"/>
      <c r="M12" s="159"/>
      <c r="N12" s="141"/>
      <c r="O12" s="141"/>
      <c r="P12" s="141"/>
      <c r="Q12" s="2"/>
      <c r="R12" s="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0"/>
      <c r="AG12" s="6"/>
      <c r="AH12" s="6"/>
      <c r="AI12" s="20"/>
    </row>
    <row r="13" spans="1:35" s="3" customFormat="1" ht="27" customHeight="1">
      <c r="A13" s="31"/>
      <c r="B13" s="10"/>
      <c r="C13" s="6"/>
      <c r="D13" s="20"/>
      <c r="E13" s="20"/>
      <c r="F13" s="20"/>
      <c r="G13" s="7"/>
      <c r="H13" s="84"/>
      <c r="I13" s="84"/>
      <c r="J13" s="157"/>
      <c r="K13" s="142"/>
      <c r="L13" s="146"/>
      <c r="M13" s="148"/>
      <c r="N13" s="134"/>
      <c r="O13" s="134"/>
      <c r="P13" s="97"/>
      <c r="Q13" s="2"/>
      <c r="R13" s="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0"/>
      <c r="AG13" s="6"/>
      <c r="AH13" s="6"/>
      <c r="AI13" s="20"/>
    </row>
    <row r="14" spans="1:35" s="3" customFormat="1" ht="27" customHeight="1">
      <c r="A14" s="31"/>
      <c r="B14" s="10"/>
      <c r="C14" s="6"/>
      <c r="D14" s="20"/>
      <c r="E14" s="20"/>
      <c r="F14" s="20"/>
      <c r="G14" s="7"/>
      <c r="H14" s="84"/>
      <c r="I14" s="84"/>
      <c r="J14" s="157"/>
      <c r="K14" s="142"/>
      <c r="L14" s="146"/>
      <c r="M14" s="148"/>
      <c r="N14" s="141"/>
      <c r="O14" s="141"/>
      <c r="P14" s="141"/>
      <c r="Q14" s="2"/>
      <c r="R14" s="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0"/>
      <c r="AG14" s="6"/>
      <c r="AH14" s="6"/>
      <c r="AI14" s="20"/>
    </row>
    <row r="15" spans="1:35" ht="27" customHeight="1">
      <c r="A15" s="31"/>
      <c r="C15" s="6"/>
      <c r="D15" s="66"/>
      <c r="E15" s="20"/>
      <c r="F15" s="20"/>
      <c r="G15" s="24"/>
      <c r="J15" s="86"/>
      <c r="L15" s="134"/>
      <c r="M15" s="134"/>
      <c r="N15" s="135"/>
      <c r="O15" s="138"/>
      <c r="P15" s="138"/>
      <c r="R15" s="2"/>
      <c r="S15" s="3"/>
      <c r="AC15" s="20"/>
      <c r="AE15" s="6"/>
      <c r="AF15" s="20"/>
      <c r="AH15" s="6"/>
    </row>
    <row r="16" spans="1:35" s="3" customFormat="1" ht="27" customHeight="1">
      <c r="A16" s="31"/>
      <c r="B16" s="10"/>
      <c r="C16" s="6"/>
      <c r="D16" s="20"/>
      <c r="E16" s="20"/>
      <c r="F16" s="20"/>
      <c r="G16" s="7"/>
      <c r="H16" s="84"/>
      <c r="I16" s="91"/>
      <c r="J16" s="157"/>
      <c r="K16" s="134"/>
      <c r="L16" s="134"/>
      <c r="M16" s="134"/>
      <c r="N16" s="97"/>
      <c r="O16" s="95"/>
      <c r="P16" s="95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20"/>
      <c r="AD16" s="6"/>
      <c r="AE16" s="6"/>
      <c r="AF16" s="20"/>
    </row>
    <row r="17" spans="1:32" s="3" customFormat="1" ht="27" customHeight="1">
      <c r="A17" s="31"/>
      <c r="B17" s="10"/>
      <c r="C17" s="67" t="s">
        <v>165</v>
      </c>
      <c r="D17" s="63">
        <f>SUM(D7:D16)</f>
        <v>589.21</v>
      </c>
      <c r="E17" s="63">
        <f>SUM(E7:E16)</f>
        <v>48.425946666666675</v>
      </c>
      <c r="F17" s="63">
        <f>SUM(F7:F16)</f>
        <v>540.7840533333333</v>
      </c>
      <c r="G17" s="7"/>
      <c r="H17" s="84"/>
      <c r="I17" s="84"/>
      <c r="J17" s="157"/>
      <c r="K17" s="134"/>
      <c r="L17" s="134"/>
      <c r="M17" s="134"/>
      <c r="N17" s="97"/>
      <c r="O17" s="95"/>
      <c r="P17" s="95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20"/>
      <c r="AD17" s="6"/>
      <c r="AE17" s="6"/>
      <c r="AF17" s="20"/>
    </row>
    <row r="18" spans="1:32" s="3" customFormat="1" ht="27" customHeight="1">
      <c r="A18" s="31"/>
      <c r="B18" s="10" t="s">
        <v>264</v>
      </c>
      <c r="C18" s="6"/>
      <c r="D18" s="20"/>
      <c r="E18" s="20"/>
      <c r="F18" s="20"/>
      <c r="G18" s="7"/>
      <c r="H18" s="84"/>
      <c r="I18" s="84"/>
      <c r="J18" s="157"/>
      <c r="K18" s="134"/>
      <c r="L18" s="134"/>
      <c r="M18" s="134"/>
      <c r="N18" s="134"/>
      <c r="O18" s="95"/>
      <c r="P18" s="95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20"/>
      <c r="AD18" s="6"/>
      <c r="AE18" s="6"/>
      <c r="AF18" s="20"/>
    </row>
    <row r="19" spans="1:32" s="3" customFormat="1" ht="27" customHeight="1">
      <c r="A19" s="31"/>
      <c r="B19" s="10" t="s">
        <v>265</v>
      </c>
      <c r="C19" s="6"/>
      <c r="D19" s="20"/>
      <c r="E19" s="20"/>
      <c r="F19" s="20"/>
      <c r="G19" s="7"/>
      <c r="H19" s="84"/>
      <c r="I19" s="84"/>
      <c r="J19" s="157"/>
      <c r="K19" s="134"/>
      <c r="L19" s="134"/>
      <c r="M19" s="134"/>
      <c r="N19" s="134"/>
      <c r="O19" s="95"/>
      <c r="P19" s="95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20"/>
      <c r="AD19" s="6"/>
      <c r="AE19" s="6"/>
      <c r="AF19" s="20"/>
    </row>
    <row r="20" spans="1:32" s="3" customFormat="1" ht="27" customHeight="1">
      <c r="A20" s="31"/>
      <c r="B20" s="10"/>
      <c r="C20" s="6"/>
      <c r="D20" s="20"/>
      <c r="E20" s="20"/>
      <c r="F20" s="20"/>
      <c r="G20" s="7"/>
      <c r="H20" s="84"/>
      <c r="I20" s="84"/>
      <c r="J20" s="157"/>
      <c r="K20" s="134"/>
      <c r="L20" s="134"/>
      <c r="M20" s="134"/>
      <c r="N20" s="134"/>
      <c r="O20" s="95"/>
      <c r="P20" s="95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20"/>
      <c r="AD20" s="6"/>
      <c r="AE20" s="6"/>
      <c r="AF20" s="20"/>
    </row>
    <row r="21" spans="1:32" s="3" customFormat="1" ht="27" customHeight="1">
      <c r="A21" s="31"/>
      <c r="B21" s="10"/>
      <c r="C21" s="6"/>
      <c r="D21" s="20"/>
      <c r="E21" s="20"/>
      <c r="F21" s="20"/>
      <c r="G21" s="7"/>
      <c r="H21" s="84"/>
      <c r="I21" s="84"/>
      <c r="J21" s="157"/>
      <c r="K21" s="134"/>
      <c r="L21" s="134"/>
      <c r="M21" s="134"/>
      <c r="N21" s="134"/>
      <c r="O21" s="95"/>
      <c r="P21" s="95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20"/>
      <c r="AD21" s="6"/>
      <c r="AE21" s="6"/>
      <c r="AF21" s="20"/>
    </row>
    <row r="22" spans="1:32" s="3" customFormat="1" ht="27" customHeight="1">
      <c r="A22" s="31"/>
      <c r="B22" s="10"/>
      <c r="C22" s="6"/>
      <c r="D22" s="20"/>
      <c r="E22" s="20"/>
      <c r="F22" s="20"/>
      <c r="G22" s="7"/>
      <c r="H22" s="84"/>
      <c r="I22" s="84"/>
      <c r="J22" s="157"/>
      <c r="K22" s="134"/>
      <c r="L22" s="134"/>
      <c r="M22" s="134"/>
      <c r="N22" s="134"/>
      <c r="O22" s="95"/>
      <c r="P22" s="95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20"/>
      <c r="AD22" s="6"/>
      <c r="AE22" s="6"/>
      <c r="AF22" s="20"/>
    </row>
    <row r="23" spans="1:32" s="3" customFormat="1" ht="27" customHeight="1">
      <c r="A23" s="31"/>
      <c r="B23" s="10"/>
      <c r="C23" s="6"/>
      <c r="D23" s="20"/>
      <c r="E23" s="20"/>
      <c r="F23" s="20"/>
      <c r="G23" s="7"/>
      <c r="H23" s="84"/>
      <c r="I23" s="84"/>
      <c r="J23" s="157"/>
      <c r="K23" s="134"/>
      <c r="L23" s="134"/>
      <c r="M23" s="134"/>
      <c r="N23" s="134"/>
      <c r="O23" s="95"/>
      <c r="P23" s="95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20"/>
      <c r="AD23" s="6"/>
      <c r="AE23" s="6"/>
      <c r="AF23" s="20"/>
    </row>
    <row r="24" spans="1:32" s="3" customFormat="1" ht="27" customHeight="1">
      <c r="A24" s="31"/>
      <c r="B24" s="10"/>
      <c r="C24" s="6"/>
      <c r="D24" s="20"/>
      <c r="E24" s="20"/>
      <c r="F24" s="20"/>
      <c r="G24" s="7"/>
      <c r="H24" s="84"/>
      <c r="I24" s="84"/>
      <c r="J24" s="157"/>
      <c r="K24" s="134"/>
      <c r="L24" s="134"/>
      <c r="M24" s="134"/>
      <c r="N24" s="134"/>
      <c r="O24" s="95"/>
      <c r="P24" s="95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20"/>
      <c r="AD24" s="6"/>
      <c r="AE24" s="6"/>
      <c r="AF24" s="20"/>
    </row>
    <row r="25" spans="1:32" s="3" customFormat="1" ht="27" customHeight="1">
      <c r="A25" s="241" t="s">
        <v>24</v>
      </c>
      <c r="B25" s="242"/>
      <c r="C25" s="242"/>
      <c r="D25" s="242"/>
      <c r="E25" s="242"/>
      <c r="F25" s="242"/>
      <c r="G25" s="243"/>
      <c r="H25" s="84"/>
      <c r="I25" s="84"/>
      <c r="J25" s="157"/>
      <c r="K25" s="134"/>
      <c r="L25" s="134"/>
      <c r="M25" s="134"/>
      <c r="N25" s="134"/>
      <c r="O25" s="95"/>
      <c r="P25" s="95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20"/>
      <c r="AD25" s="6"/>
      <c r="AE25" s="6"/>
      <c r="AF25" s="20"/>
    </row>
    <row r="26" spans="1:32" s="3" customFormat="1" ht="27" customHeight="1">
      <c r="A26" s="241" t="s">
        <v>244</v>
      </c>
      <c r="B26" s="242"/>
      <c r="C26" s="242"/>
      <c r="D26" s="242"/>
      <c r="E26" s="242"/>
      <c r="F26" s="242"/>
      <c r="G26" s="243"/>
      <c r="H26" s="84"/>
      <c r="I26" s="84"/>
      <c r="J26" s="157"/>
      <c r="K26" s="134"/>
      <c r="L26" s="134"/>
      <c r="M26" s="134"/>
      <c r="N26" s="134"/>
      <c r="O26" s="95"/>
      <c r="P26" s="95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20"/>
      <c r="AD26" s="6"/>
      <c r="AE26" s="6"/>
      <c r="AF26" s="20"/>
    </row>
    <row r="27" spans="1:32" s="3" customFormat="1" ht="27" customHeight="1">
      <c r="A27" s="241" t="str">
        <f>+A3</f>
        <v xml:space="preserve">AYUNTAMIENTO Y QUE  CORRESPONDEN A LA 1RA QUINCENA DE SEPTIEMBRE DE 2019 </v>
      </c>
      <c r="B27" s="242"/>
      <c r="C27" s="242"/>
      <c r="D27" s="242"/>
      <c r="E27" s="242"/>
      <c r="F27" s="242"/>
      <c r="G27" s="243"/>
      <c r="H27" s="84"/>
      <c r="I27" s="84"/>
      <c r="J27" s="157"/>
      <c r="K27" s="134"/>
      <c r="L27" s="134"/>
      <c r="M27" s="134"/>
      <c r="N27" s="134"/>
      <c r="O27" s="95"/>
      <c r="P27" s="95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20"/>
      <c r="AD27" s="6"/>
      <c r="AE27" s="6"/>
      <c r="AF27" s="20"/>
    </row>
    <row r="28" spans="1:32" s="3" customFormat="1" ht="27" customHeight="1">
      <c r="A28" s="241" t="s">
        <v>27</v>
      </c>
      <c r="B28" s="242"/>
      <c r="C28" s="242"/>
      <c r="D28" s="242"/>
      <c r="E28" s="242"/>
      <c r="F28" s="242"/>
      <c r="G28" s="243"/>
      <c r="H28" s="84"/>
      <c r="I28" s="84"/>
      <c r="J28" s="157"/>
      <c r="K28" s="134"/>
      <c r="L28" s="134"/>
      <c r="M28" s="134"/>
      <c r="N28" s="134"/>
      <c r="O28" s="95"/>
      <c r="P28" s="95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20"/>
      <c r="AD28" s="6"/>
      <c r="AE28" s="6"/>
      <c r="AF28" s="20"/>
    </row>
    <row r="29" spans="1:32" s="3" customFormat="1" ht="27" customHeight="1">
      <c r="A29" s="31"/>
      <c r="B29" s="10"/>
      <c r="C29" s="8"/>
      <c r="D29" s="20"/>
      <c r="E29" s="20"/>
      <c r="F29" s="20"/>
      <c r="G29" s="7"/>
      <c r="H29" s="84"/>
      <c r="I29" s="84"/>
      <c r="J29" s="157"/>
      <c r="K29" s="134"/>
      <c r="L29" s="134"/>
      <c r="M29" s="134"/>
      <c r="N29" s="134"/>
      <c r="O29" s="95"/>
      <c r="P29" s="95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20"/>
      <c r="AD29" s="6"/>
      <c r="AE29" s="6"/>
      <c r="AF29" s="20"/>
    </row>
    <row r="30" spans="1:32" s="3" customFormat="1" ht="27" customHeight="1">
      <c r="A30" s="31">
        <v>1</v>
      </c>
      <c r="B30" s="10"/>
      <c r="C30" s="8" t="str">
        <f t="shared" ref="B30:C37" si="6">+M30</f>
        <v>POLICIA DE LINEA</v>
      </c>
      <c r="D30" s="20">
        <f>H30</f>
        <v>391.47533333333337</v>
      </c>
      <c r="E30" s="20">
        <f>I30</f>
        <v>40.808666666666667</v>
      </c>
      <c r="F30" s="20">
        <f t="shared" ref="F30:F37" si="7">D30-E30</f>
        <v>350.66666666666669</v>
      </c>
      <c r="G30" s="7"/>
      <c r="H30" s="84">
        <f t="shared" ref="H30:I37" si="8">+N30/15</f>
        <v>391.47533333333337</v>
      </c>
      <c r="I30" s="84">
        <f t="shared" si="8"/>
        <v>40.808666666666667</v>
      </c>
      <c r="J30" s="86">
        <f t="shared" ref="J30:J37" si="9">+H30-I30</f>
        <v>350.66666666666669</v>
      </c>
      <c r="K30" s="142"/>
      <c r="L30" s="98" t="s">
        <v>242</v>
      </c>
      <c r="M30" s="134" t="s">
        <v>90</v>
      </c>
      <c r="N30" s="134">
        <v>5872.13</v>
      </c>
      <c r="O30" s="95">
        <v>612.13</v>
      </c>
      <c r="P30" s="98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20"/>
      <c r="AC30" s="6"/>
      <c r="AD30" s="6"/>
      <c r="AE30" s="20"/>
    </row>
    <row r="31" spans="1:32" s="3" customFormat="1" ht="27" customHeight="1">
      <c r="A31" s="31">
        <v>2</v>
      </c>
      <c r="B31" s="10"/>
      <c r="C31" s="8" t="str">
        <f t="shared" si="6"/>
        <v>POLICIA DE LINEA</v>
      </c>
      <c r="D31" s="20">
        <f t="shared" ref="D31:E37" si="10">H31</f>
        <v>391.47533333333337</v>
      </c>
      <c r="E31" s="20">
        <f t="shared" si="10"/>
        <v>40.808666666666667</v>
      </c>
      <c r="F31" s="20">
        <f t="shared" si="7"/>
        <v>350.66666666666669</v>
      </c>
      <c r="G31" s="24"/>
      <c r="H31" s="84">
        <f t="shared" si="8"/>
        <v>391.47533333333337</v>
      </c>
      <c r="I31" s="84">
        <f t="shared" si="8"/>
        <v>40.808666666666667</v>
      </c>
      <c r="J31" s="86">
        <f t="shared" si="9"/>
        <v>350.66666666666669</v>
      </c>
      <c r="K31" s="134"/>
      <c r="L31" s="134" t="s">
        <v>164</v>
      </c>
      <c r="M31" s="134" t="s">
        <v>90</v>
      </c>
      <c r="N31" s="97">
        <v>5872.13</v>
      </c>
      <c r="O31" s="95">
        <v>612.13</v>
      </c>
      <c r="P31" s="98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20"/>
      <c r="AC31" s="6"/>
      <c r="AD31" s="6"/>
      <c r="AE31" s="20"/>
    </row>
    <row r="32" spans="1:32" s="3" customFormat="1" ht="27" customHeight="1">
      <c r="A32" s="31">
        <v>3</v>
      </c>
      <c r="B32" s="10"/>
      <c r="C32" s="8" t="str">
        <f t="shared" si="6"/>
        <v>POLICIA DE LINEA</v>
      </c>
      <c r="D32" s="20">
        <f t="shared" si="10"/>
        <v>391.47533333333337</v>
      </c>
      <c r="E32" s="20">
        <f t="shared" si="10"/>
        <v>40.808666666666667</v>
      </c>
      <c r="F32" s="20">
        <f t="shared" si="7"/>
        <v>350.66666666666669</v>
      </c>
      <c r="G32" s="24"/>
      <c r="H32" s="84">
        <f t="shared" si="8"/>
        <v>391.47533333333337</v>
      </c>
      <c r="I32" s="84">
        <f t="shared" si="8"/>
        <v>40.808666666666667</v>
      </c>
      <c r="J32" s="86">
        <f t="shared" si="9"/>
        <v>350.66666666666669</v>
      </c>
      <c r="K32" s="134"/>
      <c r="L32" s="134" t="s">
        <v>207</v>
      </c>
      <c r="M32" s="134" t="s">
        <v>90</v>
      </c>
      <c r="N32" s="97">
        <v>5872.13</v>
      </c>
      <c r="O32" s="95">
        <v>612.13</v>
      </c>
      <c r="P32" s="98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20"/>
      <c r="AC32" s="6"/>
      <c r="AD32" s="6"/>
      <c r="AE32" s="20"/>
    </row>
    <row r="33" spans="1:35" s="3" customFormat="1" ht="27" customHeight="1">
      <c r="A33" s="31">
        <v>4</v>
      </c>
      <c r="B33" s="10"/>
      <c r="C33" s="8" t="str">
        <f t="shared" ref="B33:C33" si="11">+M33</f>
        <v>POLICIA DE LINEA</v>
      </c>
      <c r="D33" s="20">
        <f t="shared" si="10"/>
        <v>391.47533333333337</v>
      </c>
      <c r="E33" s="20">
        <f t="shared" si="10"/>
        <v>40.808666666666667</v>
      </c>
      <c r="F33" s="20">
        <f t="shared" si="7"/>
        <v>350.66666666666669</v>
      </c>
      <c r="G33" s="7"/>
      <c r="H33" s="84">
        <f t="shared" si="8"/>
        <v>391.47533333333337</v>
      </c>
      <c r="I33" s="84">
        <f t="shared" si="8"/>
        <v>40.808666666666667</v>
      </c>
      <c r="J33" s="86">
        <f t="shared" si="9"/>
        <v>350.66666666666669</v>
      </c>
      <c r="K33" s="134"/>
      <c r="L33" s="134" t="s">
        <v>218</v>
      </c>
      <c r="M33" s="134" t="s">
        <v>90</v>
      </c>
      <c r="N33" s="134">
        <v>5872.13</v>
      </c>
      <c r="O33" s="95">
        <v>612.13</v>
      </c>
      <c r="P33" s="98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20"/>
      <c r="AC33" s="6"/>
      <c r="AD33" s="6"/>
      <c r="AE33" s="20"/>
    </row>
    <row r="34" spans="1:35" s="3" customFormat="1" ht="27" customHeight="1">
      <c r="A34" s="31">
        <v>5</v>
      </c>
      <c r="B34" s="10"/>
      <c r="C34" s="8" t="str">
        <f>+M34</f>
        <v>POLICIA DE LINEA</v>
      </c>
      <c r="D34" s="20">
        <f t="shared" si="10"/>
        <v>391.47533333333337</v>
      </c>
      <c r="E34" s="20">
        <f t="shared" si="10"/>
        <v>40.808666666666667</v>
      </c>
      <c r="F34" s="20">
        <f t="shared" si="7"/>
        <v>350.66666666666669</v>
      </c>
      <c r="G34" s="7"/>
      <c r="H34" s="84">
        <f t="shared" si="8"/>
        <v>391.47533333333337</v>
      </c>
      <c r="I34" s="84">
        <f>+O34/15</f>
        <v>40.808666666666667</v>
      </c>
      <c r="J34" s="86">
        <f>+H34-I34</f>
        <v>350.66666666666669</v>
      </c>
      <c r="K34" s="134"/>
      <c r="L34" s="134" t="s">
        <v>213</v>
      </c>
      <c r="M34" s="134" t="s">
        <v>90</v>
      </c>
      <c r="N34" s="134">
        <v>5872.13</v>
      </c>
      <c r="O34" s="95">
        <v>612.13</v>
      </c>
      <c r="P34" s="98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20"/>
      <c r="AC34" s="6"/>
      <c r="AD34" s="6"/>
      <c r="AE34" s="20"/>
    </row>
    <row r="35" spans="1:35" s="3" customFormat="1" ht="27" customHeight="1">
      <c r="A35" s="31">
        <v>6</v>
      </c>
      <c r="B35" s="10" t="str">
        <f t="shared" si="6"/>
        <v xml:space="preserve">CAMACHO FLORES MARIO </v>
      </c>
      <c r="C35" s="8" t="str">
        <f t="shared" si="6"/>
        <v>COMANDANTE</v>
      </c>
      <c r="D35" s="20">
        <f>H35</f>
        <v>432.6273333333333</v>
      </c>
      <c r="E35" s="20">
        <f>I35</f>
        <v>49.293999999999997</v>
      </c>
      <c r="F35" s="20">
        <f t="shared" si="7"/>
        <v>383.33333333333331</v>
      </c>
      <c r="G35" s="7"/>
      <c r="H35" s="84">
        <f t="shared" si="8"/>
        <v>432.6273333333333</v>
      </c>
      <c r="I35" s="84">
        <f t="shared" si="8"/>
        <v>49.293999999999997</v>
      </c>
      <c r="J35" s="86">
        <f t="shared" si="9"/>
        <v>383.33333333333331</v>
      </c>
      <c r="K35" s="134"/>
      <c r="L35" s="134" t="s">
        <v>217</v>
      </c>
      <c r="M35" s="134" t="s">
        <v>208</v>
      </c>
      <c r="N35" s="134">
        <v>6489.41</v>
      </c>
      <c r="O35" s="95">
        <v>739.41</v>
      </c>
      <c r="P35" s="98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20"/>
      <c r="AC35" s="6"/>
      <c r="AD35" s="6"/>
      <c r="AE35" s="20"/>
    </row>
    <row r="36" spans="1:35" s="3" customFormat="1" ht="27" customHeight="1">
      <c r="A36" s="31">
        <v>7</v>
      </c>
      <c r="B36" s="10"/>
      <c r="C36" s="8" t="str">
        <f t="shared" si="6"/>
        <v>POLICIA DE LINEA</v>
      </c>
      <c r="D36" s="20">
        <f t="shared" si="10"/>
        <v>391.47533333333337</v>
      </c>
      <c r="E36" s="20">
        <f t="shared" si="10"/>
        <v>40.808666666666667</v>
      </c>
      <c r="F36" s="20">
        <f t="shared" si="7"/>
        <v>350.66666666666669</v>
      </c>
      <c r="G36" s="24"/>
      <c r="H36" s="84">
        <f t="shared" si="8"/>
        <v>391.47533333333337</v>
      </c>
      <c r="I36" s="84">
        <f t="shared" si="8"/>
        <v>40.808666666666667</v>
      </c>
      <c r="J36" s="86">
        <f t="shared" si="9"/>
        <v>350.66666666666669</v>
      </c>
      <c r="K36" s="134"/>
      <c r="L36" s="134" t="s">
        <v>215</v>
      </c>
      <c r="M36" s="134" t="s">
        <v>90</v>
      </c>
      <c r="N36" s="134">
        <v>5872.13</v>
      </c>
      <c r="O36" s="95">
        <v>612.13</v>
      </c>
      <c r="P36" s="98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20"/>
      <c r="AC36" s="6"/>
      <c r="AD36" s="6"/>
      <c r="AE36" s="20"/>
    </row>
    <row r="37" spans="1:35" s="3" customFormat="1" ht="27" customHeight="1">
      <c r="A37" s="31">
        <v>8</v>
      </c>
      <c r="B37" s="10"/>
      <c r="C37" s="8" t="str">
        <f t="shared" si="6"/>
        <v>POLICIA DE LINEA</v>
      </c>
      <c r="D37" s="20">
        <f t="shared" si="10"/>
        <v>391.47533333333337</v>
      </c>
      <c r="E37" s="20">
        <f t="shared" si="10"/>
        <v>40.808666666666667</v>
      </c>
      <c r="F37" s="20">
        <f t="shared" si="7"/>
        <v>350.66666666666669</v>
      </c>
      <c r="G37" s="7"/>
      <c r="H37" s="84">
        <f t="shared" si="8"/>
        <v>391.47533333333337</v>
      </c>
      <c r="I37" s="84">
        <f t="shared" si="8"/>
        <v>40.808666666666667</v>
      </c>
      <c r="J37" s="86">
        <f t="shared" si="9"/>
        <v>350.66666666666669</v>
      </c>
      <c r="K37" s="134"/>
      <c r="L37" s="134" t="s">
        <v>205</v>
      </c>
      <c r="M37" s="134" t="s">
        <v>90</v>
      </c>
      <c r="N37" s="134">
        <v>5872.13</v>
      </c>
      <c r="O37" s="95">
        <v>612.13</v>
      </c>
      <c r="P37" s="98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20"/>
      <c r="AC37" s="6"/>
      <c r="AD37" s="6"/>
      <c r="AE37" s="20"/>
    </row>
    <row r="38" spans="1:35" s="3" customFormat="1" ht="27" customHeight="1">
      <c r="A38" s="31"/>
      <c r="B38" s="10"/>
      <c r="C38" s="8"/>
      <c r="D38" s="20"/>
      <c r="E38" s="20"/>
      <c r="F38" s="20"/>
      <c r="G38" s="7"/>
      <c r="H38" s="84"/>
      <c r="I38" s="84"/>
      <c r="J38" s="86"/>
      <c r="K38" s="142"/>
      <c r="L38" s="146"/>
      <c r="M38" s="134"/>
      <c r="N38" s="97"/>
      <c r="O38" s="95"/>
      <c r="P38" s="98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20"/>
      <c r="AC38" s="6"/>
      <c r="AD38" s="6"/>
      <c r="AE38" s="20"/>
    </row>
    <row r="39" spans="1:35" s="3" customFormat="1" ht="27" customHeight="1">
      <c r="A39" s="31"/>
      <c r="B39" s="10"/>
      <c r="C39" s="6"/>
      <c r="D39" s="73"/>
      <c r="E39" s="73"/>
      <c r="F39" s="73"/>
      <c r="G39" s="24"/>
      <c r="H39" s="84"/>
      <c r="I39" s="84"/>
      <c r="J39" s="86"/>
      <c r="K39" s="134"/>
      <c r="L39" s="134"/>
      <c r="M39" s="134"/>
      <c r="N39" s="134"/>
      <c r="O39" s="97"/>
      <c r="P39" s="97"/>
      <c r="Q39" s="2"/>
      <c r="R39" s="2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20"/>
      <c r="AG39" s="6"/>
      <c r="AH39" s="6"/>
      <c r="AI39" s="20"/>
    </row>
    <row r="40" spans="1:35" s="3" customFormat="1" ht="27" customHeight="1">
      <c r="A40" s="31"/>
      <c r="B40" s="10"/>
      <c r="C40" s="8"/>
      <c r="D40" s="20"/>
      <c r="E40" s="20"/>
      <c r="F40" s="20"/>
      <c r="G40" s="7"/>
      <c r="H40" s="84"/>
      <c r="I40" s="84"/>
      <c r="J40" s="157"/>
      <c r="K40" s="134"/>
      <c r="L40" s="134"/>
      <c r="M40" s="134"/>
      <c r="N40" s="97"/>
      <c r="O40" s="95"/>
      <c r="P40" s="95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20"/>
      <c r="AD40" s="6"/>
      <c r="AE40" s="6"/>
      <c r="AF40" s="20"/>
    </row>
    <row r="41" spans="1:35" s="3" customFormat="1" ht="27" customHeight="1">
      <c r="A41" s="31"/>
      <c r="B41" s="10"/>
      <c r="C41" s="67" t="s">
        <v>165</v>
      </c>
      <c r="D41" s="63">
        <f>SUM(D30:D40)</f>
        <v>3172.9546666666665</v>
      </c>
      <c r="E41" s="63">
        <f t="shared" ref="E41:F41" si="12">SUM(E30:E40)</f>
        <v>334.9546666666667</v>
      </c>
      <c r="F41" s="63">
        <f t="shared" si="12"/>
        <v>2838</v>
      </c>
      <c r="G41" s="7"/>
      <c r="H41" s="84"/>
      <c r="I41" s="84"/>
      <c r="J41" s="157"/>
      <c r="K41" s="134"/>
      <c r="L41" s="134"/>
      <c r="M41" s="134"/>
      <c r="N41" s="97"/>
      <c r="O41" s="95"/>
      <c r="P41" s="95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20"/>
      <c r="AD41" s="6"/>
      <c r="AE41" s="6"/>
      <c r="AF41" s="20"/>
    </row>
    <row r="42" spans="1:35" s="3" customFormat="1" ht="27" customHeight="1">
      <c r="A42" s="31"/>
      <c r="B42" s="10"/>
      <c r="C42" s="6"/>
      <c r="D42" s="20"/>
      <c r="E42" s="20"/>
      <c r="F42" s="20"/>
      <c r="G42" s="7"/>
      <c r="H42" s="84"/>
      <c r="I42" s="84"/>
      <c r="J42" s="157"/>
      <c r="K42" s="134"/>
      <c r="L42" s="134"/>
      <c r="M42" s="134"/>
      <c r="N42" s="97"/>
      <c r="O42" s="95"/>
      <c r="P42" s="95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20"/>
      <c r="AD42" s="6"/>
      <c r="AE42" s="6"/>
      <c r="AF42" s="20"/>
    </row>
    <row r="43" spans="1:35" s="3" customFormat="1" ht="27" customHeight="1">
      <c r="A43" s="31"/>
      <c r="B43" s="10" t="s">
        <v>266</v>
      </c>
      <c r="C43" s="6"/>
      <c r="D43" s="20"/>
      <c r="E43" s="20"/>
      <c r="F43" s="20"/>
      <c r="G43" s="7"/>
      <c r="H43" s="84"/>
      <c r="I43" s="84"/>
      <c r="J43" s="157"/>
      <c r="K43" s="134"/>
      <c r="L43" s="134"/>
      <c r="M43" s="134"/>
      <c r="N43" s="134"/>
      <c r="O43" s="95"/>
      <c r="P43" s="97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20"/>
      <c r="AE43" s="6"/>
      <c r="AF43" s="6"/>
      <c r="AG43" s="20"/>
    </row>
    <row r="44" spans="1:35" s="3" customFormat="1" ht="27" customHeight="1">
      <c r="A44" s="31"/>
      <c r="B44" s="10" t="str">
        <f>+B19</f>
        <v>IXTLAHUACAN DEL RIO JALISCO A 15 DE SEPTIEMBRE DE 2019</v>
      </c>
      <c r="C44" s="6"/>
      <c r="D44" s="20"/>
      <c r="E44" s="20"/>
      <c r="F44" s="20"/>
      <c r="G44" s="7"/>
      <c r="H44" s="84"/>
      <c r="I44" s="84"/>
      <c r="J44" s="157"/>
      <c r="K44" s="134"/>
      <c r="L44" s="134"/>
      <c r="M44" s="134"/>
      <c r="N44" s="134"/>
      <c r="O44" s="95"/>
      <c r="P44" s="97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20"/>
      <c r="AE44" s="6"/>
      <c r="AF44" s="6"/>
      <c r="AG44" s="20"/>
    </row>
    <row r="45" spans="1:35" s="3" customFormat="1" ht="27" customHeight="1">
      <c r="A45" s="31"/>
      <c r="B45" s="10"/>
      <c r="C45" s="6"/>
      <c r="D45" s="20"/>
      <c r="E45" s="20"/>
      <c r="F45" s="20"/>
      <c r="G45" s="7"/>
      <c r="H45" s="84"/>
      <c r="I45" s="84"/>
      <c r="J45" s="157"/>
      <c r="K45" s="134"/>
      <c r="L45" s="134"/>
      <c r="M45" s="134"/>
      <c r="N45" s="134"/>
      <c r="O45" s="95"/>
      <c r="P45" s="97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20"/>
      <c r="AE45" s="6"/>
      <c r="AF45" s="6"/>
      <c r="AG45" s="20"/>
    </row>
    <row r="46" spans="1:35" s="3" customFormat="1" ht="27" customHeight="1">
      <c r="A46" s="31"/>
      <c r="B46" s="10"/>
      <c r="C46" s="6"/>
      <c r="D46" s="20"/>
      <c r="E46" s="20"/>
      <c r="F46" s="20"/>
      <c r="G46" s="7"/>
      <c r="H46" s="84"/>
      <c r="I46" s="84"/>
      <c r="J46" s="157"/>
      <c r="K46" s="134"/>
      <c r="L46" s="134"/>
      <c r="M46" s="134"/>
      <c r="N46" s="134"/>
      <c r="O46" s="95"/>
      <c r="P46" s="97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20"/>
      <c r="AE46" s="6"/>
      <c r="AF46" s="6"/>
      <c r="AG46" s="20"/>
    </row>
    <row r="47" spans="1:35" s="3" customFormat="1" ht="27" customHeight="1">
      <c r="A47" s="31"/>
      <c r="B47" s="10"/>
      <c r="C47" s="6"/>
      <c r="D47" s="20"/>
      <c r="E47" s="20"/>
      <c r="F47" s="20"/>
      <c r="G47" s="7"/>
      <c r="H47" s="84"/>
      <c r="I47" s="84"/>
      <c r="J47" s="157"/>
      <c r="K47" s="134"/>
      <c r="L47" s="134"/>
      <c r="M47" s="134"/>
      <c r="N47" s="134"/>
      <c r="O47" s="97"/>
      <c r="P47" s="134"/>
      <c r="Q47" s="2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20"/>
      <c r="AF47" s="6"/>
      <c r="AG47" s="6"/>
      <c r="AH47" s="20"/>
    </row>
    <row r="48" spans="1:35" s="3" customFormat="1" ht="27" customHeight="1">
      <c r="A48" s="9"/>
      <c r="B48" s="10"/>
      <c r="C48" s="26"/>
      <c r="D48" s="4"/>
      <c r="E48" s="4"/>
      <c r="F48" s="4"/>
      <c r="G48" s="7"/>
      <c r="H48" s="84"/>
      <c r="I48" s="91"/>
      <c r="J48" s="157"/>
      <c r="K48" s="87"/>
      <c r="L48" s="110"/>
      <c r="M48" s="118"/>
      <c r="N48" s="118"/>
      <c r="O48" s="131"/>
      <c r="P48" s="118"/>
      <c r="Q48" s="2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20"/>
      <c r="AF48" s="6"/>
      <c r="AG48" s="6"/>
      <c r="AH48" s="20"/>
    </row>
    <row r="49" spans="1:34" s="3" customFormat="1" ht="27" customHeight="1">
      <c r="A49" s="9"/>
      <c r="B49" s="10"/>
      <c r="C49" s="26"/>
      <c r="D49" s="32"/>
      <c r="E49" s="32"/>
      <c r="F49" s="32"/>
      <c r="G49" s="7"/>
      <c r="H49" s="84"/>
      <c r="I49" s="91"/>
      <c r="J49" s="157"/>
      <c r="K49" s="87"/>
      <c r="L49" s="110"/>
      <c r="M49" s="118"/>
      <c r="N49" s="118"/>
      <c r="O49" s="131"/>
      <c r="P49" s="118"/>
      <c r="Q49" s="2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20"/>
      <c r="AF49" s="6"/>
      <c r="AG49" s="6"/>
      <c r="AH49" s="20"/>
    </row>
    <row r="50" spans="1:34" s="3" customFormat="1" ht="27" customHeight="1">
      <c r="A50" s="9"/>
      <c r="C50" s="30"/>
      <c r="D50" s="4"/>
      <c r="E50" s="4"/>
      <c r="F50" s="4"/>
      <c r="G50" s="7" t="s">
        <v>18</v>
      </c>
      <c r="H50" s="84"/>
      <c r="I50" s="91"/>
      <c r="J50" s="157">
        <f>SUM(H50-I50)</f>
        <v>0</v>
      </c>
      <c r="K50" s="87"/>
      <c r="L50" s="110"/>
      <c r="M50" s="118"/>
      <c r="N50" s="120"/>
      <c r="O50" s="131"/>
      <c r="P50" s="131"/>
      <c r="Q50" s="2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20"/>
      <c r="AF50" s="6"/>
      <c r="AG50" s="6"/>
      <c r="AH50" s="20"/>
    </row>
    <row r="51" spans="1:34" s="3" customFormat="1" ht="27" customHeight="1">
      <c r="A51" s="9"/>
      <c r="C51" s="26"/>
      <c r="D51" s="4"/>
      <c r="E51" s="4"/>
      <c r="F51" s="4"/>
      <c r="G51" s="7" t="s">
        <v>18</v>
      </c>
      <c r="H51" s="84"/>
      <c r="I51" s="91"/>
      <c r="J51" s="157">
        <f>SUM(H51-I51)</f>
        <v>0</v>
      </c>
      <c r="K51" s="87"/>
      <c r="L51" s="109"/>
      <c r="M51" s="95"/>
      <c r="N51" s="117"/>
      <c r="O51" s="131"/>
      <c r="P51" s="131"/>
      <c r="Q51" s="2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20"/>
      <c r="AF51" s="6"/>
      <c r="AG51" s="6"/>
      <c r="AH51" s="20"/>
    </row>
    <row r="52" spans="1:34" s="3" customFormat="1" ht="27" customHeight="1">
      <c r="A52" s="9"/>
      <c r="B52" s="10"/>
      <c r="C52" s="26"/>
      <c r="D52" s="28"/>
      <c r="E52" s="28"/>
      <c r="F52" s="21"/>
      <c r="G52" s="7" t="s">
        <v>18</v>
      </c>
      <c r="H52" s="91"/>
      <c r="I52" s="91"/>
      <c r="J52" s="157"/>
      <c r="K52" s="98"/>
      <c r="L52" s="98"/>
      <c r="M52" s="95"/>
      <c r="N52" s="117"/>
      <c r="O52" s="131"/>
      <c r="P52" s="131"/>
      <c r="Q52" s="2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20"/>
      <c r="AF52" s="6"/>
      <c r="AG52" s="6"/>
      <c r="AH52" s="20"/>
    </row>
    <row r="60" spans="1:34" ht="27" customHeight="1">
      <c r="D60" s="20"/>
      <c r="E60" s="20"/>
      <c r="F60" s="20"/>
    </row>
    <row r="61" spans="1:34" ht="27" customHeight="1">
      <c r="D61" s="20"/>
      <c r="E61" s="20"/>
      <c r="F61" s="20"/>
    </row>
    <row r="62" spans="1:34" ht="27" customHeight="1">
      <c r="D62" s="20"/>
      <c r="E62" s="20"/>
      <c r="F62" s="20"/>
    </row>
    <row r="63" spans="1:34" ht="27" customHeight="1">
      <c r="D63" s="20"/>
      <c r="E63" s="20"/>
      <c r="F63" s="20"/>
    </row>
    <row r="64" spans="1:34" ht="27" customHeight="1">
      <c r="C64" s="62"/>
      <c r="D64" s="63"/>
      <c r="E64" s="63"/>
      <c r="F64" s="63"/>
    </row>
  </sheetData>
  <mergeCells count="8">
    <mergeCell ref="A27:G27"/>
    <mergeCell ref="A28:G28"/>
    <mergeCell ref="A1:G1"/>
    <mergeCell ref="A2:G2"/>
    <mergeCell ref="A3:G3"/>
    <mergeCell ref="A4:G4"/>
    <mergeCell ref="A25:G25"/>
    <mergeCell ref="A26:G26"/>
  </mergeCells>
  <pageMargins left="0.23622047244094491" right="0.23622047244094491" top="0.74803149606299213" bottom="0.74803149606299213" header="0.31496062992125984" footer="0.31496062992125984"/>
  <pageSetup scale="5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6"/>
  <sheetViews>
    <sheetView zoomScale="80" zoomScaleNormal="80" workbookViewId="0">
      <selection activeCell="C41" sqref="C41"/>
    </sheetView>
  </sheetViews>
  <sheetFormatPr baseColWidth="10" defaultRowHeight="27" customHeight="1"/>
  <cols>
    <col min="1" max="1" width="2.42578125" style="9" bestFit="1" customWidth="1"/>
    <col min="2" max="2" width="41.42578125" style="10" customWidth="1"/>
    <col min="3" max="3" width="41.42578125" style="99" bestFit="1" customWidth="1"/>
    <col min="4" max="4" width="11.42578125" style="6" bestFit="1" customWidth="1"/>
    <col min="5" max="5" width="12.42578125" style="6" customWidth="1"/>
    <col min="6" max="6" width="20" style="6" bestFit="1" customWidth="1"/>
    <col min="7" max="7" width="37" style="6" customWidth="1"/>
    <col min="8" max="8" width="11.5703125" style="84" bestFit="1" customWidth="1"/>
    <col min="9" max="9" width="9.5703125" style="91" customWidth="1"/>
    <col min="10" max="10" width="17.5703125" style="157" customWidth="1"/>
    <col min="11" max="11" width="16.7109375" style="87" customWidth="1"/>
    <col min="12" max="12" width="23.42578125" style="109" customWidth="1"/>
    <col min="13" max="13" width="9.7109375" style="95" customWidth="1"/>
    <col min="14" max="14" width="10.140625" style="117" bestFit="1" customWidth="1"/>
    <col min="15" max="15" width="9.42578125" style="131" bestFit="1" customWidth="1"/>
    <col min="16" max="16" width="9.140625" style="131" bestFit="1" customWidth="1"/>
    <col min="17" max="17" width="11.7109375" style="95" customWidth="1"/>
    <col min="18" max="18" width="6.85546875" style="6" customWidth="1"/>
    <col min="19" max="19" width="13.85546875" style="6" customWidth="1"/>
    <col min="20" max="20" width="11.7109375" style="6" customWidth="1"/>
    <col min="21" max="21" width="43.42578125" style="6" customWidth="1"/>
    <col min="22" max="30" width="11.7109375" style="6" customWidth="1"/>
    <col min="31" max="31" width="11.7109375" style="20" customWidth="1"/>
    <col min="32" max="33" width="11.7109375" style="6" customWidth="1"/>
    <col min="34" max="34" width="11.7109375" style="20" customWidth="1"/>
    <col min="35" max="35" width="11.7109375" style="6" customWidth="1"/>
    <col min="36" max="36" width="2.28515625" style="6" customWidth="1"/>
    <col min="37" max="37" width="15.5703125" style="6" customWidth="1"/>
    <col min="38" max="38" width="11.42578125" style="6" customWidth="1"/>
    <col min="39" max="39" width="11.42578125" style="6"/>
    <col min="40" max="40" width="11.42578125" style="6" customWidth="1"/>
    <col min="41" max="41" width="42.28515625" style="6" customWidth="1"/>
    <col min="42" max="16384" width="11.42578125" style="6"/>
  </cols>
  <sheetData>
    <row r="1" spans="1:35" s="175" customFormat="1" ht="27" customHeight="1">
      <c r="A1" s="244" t="s">
        <v>24</v>
      </c>
      <c r="B1" s="245"/>
      <c r="C1" s="245"/>
      <c r="D1" s="245"/>
      <c r="E1" s="245"/>
      <c r="F1" s="245"/>
      <c r="G1" s="246"/>
      <c r="H1" s="166"/>
      <c r="I1" s="167"/>
      <c r="J1" s="168"/>
      <c r="K1" s="169"/>
      <c r="L1" s="170"/>
      <c r="M1" s="171"/>
      <c r="N1" s="172"/>
      <c r="O1" s="173"/>
      <c r="P1" s="173"/>
      <c r="Q1" s="174"/>
      <c r="AE1" s="176"/>
      <c r="AH1" s="176"/>
    </row>
    <row r="2" spans="1:35" s="175" customFormat="1" ht="27" customHeight="1">
      <c r="A2" s="247" t="s">
        <v>153</v>
      </c>
      <c r="B2" s="248"/>
      <c r="C2" s="248"/>
      <c r="D2" s="248"/>
      <c r="E2" s="248"/>
      <c r="F2" s="248"/>
      <c r="G2" s="249"/>
      <c r="H2" s="166"/>
      <c r="I2" s="167"/>
      <c r="J2" s="177"/>
      <c r="K2" s="169"/>
      <c r="L2" s="170"/>
      <c r="M2" s="171"/>
      <c r="N2" s="172"/>
      <c r="O2" s="173"/>
      <c r="P2" s="173"/>
      <c r="Q2" s="174"/>
      <c r="AE2" s="176"/>
      <c r="AH2" s="176"/>
    </row>
    <row r="3" spans="1:35" s="175" customFormat="1" ht="27" customHeight="1">
      <c r="A3" s="235" t="s">
        <v>259</v>
      </c>
      <c r="B3" s="236"/>
      <c r="C3" s="236"/>
      <c r="D3" s="236"/>
      <c r="E3" s="236"/>
      <c r="F3" s="236"/>
      <c r="G3" s="237"/>
      <c r="H3" s="166"/>
      <c r="I3" s="167"/>
      <c r="J3" s="168"/>
      <c r="K3" s="169"/>
      <c r="L3" s="170"/>
      <c r="M3" s="171"/>
      <c r="N3" s="172"/>
      <c r="O3" s="178"/>
      <c r="P3" s="173"/>
      <c r="Q3" s="174"/>
      <c r="AE3" s="176"/>
      <c r="AH3" s="176"/>
    </row>
    <row r="4" spans="1:35" s="175" customFormat="1" ht="27" customHeight="1">
      <c r="A4" s="235" t="s">
        <v>27</v>
      </c>
      <c r="B4" s="236"/>
      <c r="C4" s="236"/>
      <c r="D4" s="236"/>
      <c r="E4" s="236"/>
      <c r="F4" s="236"/>
      <c r="G4" s="237"/>
      <c r="H4" s="166"/>
      <c r="I4" s="167"/>
      <c r="J4" s="168"/>
      <c r="K4" s="169"/>
      <c r="L4" s="170"/>
      <c r="M4" s="171"/>
      <c r="N4" s="172"/>
      <c r="O4" s="178"/>
      <c r="P4" s="173"/>
      <c r="Q4" s="174"/>
      <c r="AE4" s="176"/>
      <c r="AH4" s="176"/>
    </row>
    <row r="5" spans="1:35" s="175" customFormat="1" ht="27" customHeight="1">
      <c r="A5" s="179"/>
      <c r="B5" s="180"/>
      <c r="C5" s="181"/>
      <c r="D5" s="182"/>
      <c r="E5" s="183"/>
      <c r="F5" s="183"/>
      <c r="G5" s="184"/>
      <c r="H5" s="166"/>
      <c r="I5" s="167"/>
      <c r="J5" s="168"/>
      <c r="K5" s="169"/>
      <c r="L5" s="170"/>
      <c r="M5" s="171"/>
      <c r="N5" s="172"/>
      <c r="O5" s="178"/>
      <c r="P5" s="173"/>
      <c r="Q5" s="174"/>
      <c r="AE5" s="176"/>
      <c r="AH5" s="176"/>
    </row>
    <row r="6" spans="1:35" s="175" customFormat="1" ht="27" customHeight="1">
      <c r="A6" s="185"/>
      <c r="B6" s="220" t="s">
        <v>0</v>
      </c>
      <c r="C6" s="221" t="s">
        <v>6</v>
      </c>
      <c r="D6" s="222" t="s">
        <v>15</v>
      </c>
      <c r="E6" s="223" t="s">
        <v>10</v>
      </c>
      <c r="F6" s="224" t="s">
        <v>16</v>
      </c>
      <c r="G6" s="225" t="s">
        <v>1</v>
      </c>
      <c r="H6" s="166"/>
      <c r="I6" s="167"/>
      <c r="J6" s="168"/>
      <c r="K6" s="169"/>
      <c r="L6" s="170"/>
      <c r="M6" s="171"/>
      <c r="N6" s="172"/>
      <c r="O6" s="178"/>
      <c r="P6" s="173"/>
      <c r="Q6" s="174"/>
      <c r="AE6" s="176"/>
      <c r="AH6" s="176"/>
    </row>
    <row r="7" spans="1:35" s="3" customFormat="1" ht="27" customHeight="1">
      <c r="A7" s="31">
        <v>1</v>
      </c>
      <c r="B7" s="8" t="str">
        <f t="shared" ref="B7:C12" si="0">+L7</f>
        <v xml:space="preserve">ALVAREZ DEL CASTILLO SANCHEZ JORGE ENRIQUE </v>
      </c>
      <c r="C7" s="71" t="str">
        <f t="shared" si="0"/>
        <v>CHOFER DE CAMION ESCOLAR</v>
      </c>
      <c r="D7" s="20">
        <f>H7*3.68</f>
        <v>1090.6784</v>
      </c>
      <c r="E7" s="20">
        <f>I7*3.68+0.53</f>
        <v>90.677733333333336</v>
      </c>
      <c r="F7" s="20">
        <f t="shared" ref="F7:F12" si="1">D7-E7</f>
        <v>1000.0006666666667</v>
      </c>
      <c r="G7" s="7"/>
      <c r="H7" s="84">
        <f t="shared" ref="H7:H12" si="2">+N7/15</f>
        <v>296.38</v>
      </c>
      <c r="I7" s="84">
        <f t="shared" ref="I7:I12" si="3">+P7/15</f>
        <v>24.496666666666666</v>
      </c>
      <c r="J7" s="157">
        <f t="shared" ref="J7:J12" si="4">+H7-I7</f>
        <v>271.88333333333333</v>
      </c>
      <c r="K7" s="142"/>
      <c r="L7" s="98" t="s">
        <v>127</v>
      </c>
      <c r="M7" s="144" t="s">
        <v>128</v>
      </c>
      <c r="N7" s="134">
        <v>4445.7</v>
      </c>
      <c r="O7" s="134">
        <v>0</v>
      </c>
      <c r="P7" s="97">
        <v>367.45</v>
      </c>
      <c r="Q7" s="95"/>
      <c r="R7" s="2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20"/>
      <c r="AG7" s="6"/>
      <c r="AH7" s="6"/>
      <c r="AI7" s="20"/>
    </row>
    <row r="8" spans="1:35" s="3" customFormat="1" ht="27" customHeight="1">
      <c r="A8" s="31">
        <v>2</v>
      </c>
      <c r="B8" s="10" t="str">
        <f t="shared" si="0"/>
        <v xml:space="preserve">CORONA OLVERA SALVADOR </v>
      </c>
      <c r="C8" s="71" t="str">
        <f t="shared" si="0"/>
        <v>CHOFER DE CAMION ESCOLAR</v>
      </c>
      <c r="D8" s="20">
        <f>H8*6.201</f>
        <v>2214.9971999999998</v>
      </c>
      <c r="E8" s="20">
        <f>I8*6.201+0.03</f>
        <v>214.99386600000003</v>
      </c>
      <c r="F8" s="20">
        <f t="shared" si="1"/>
        <v>2000.0033339999998</v>
      </c>
      <c r="G8" s="7"/>
      <c r="H8" s="84">
        <f t="shared" si="2"/>
        <v>357.2</v>
      </c>
      <c r="I8" s="84">
        <f t="shared" si="3"/>
        <v>34.666000000000004</v>
      </c>
      <c r="J8" s="157">
        <f t="shared" si="4"/>
        <v>322.53399999999999</v>
      </c>
      <c r="K8" s="142"/>
      <c r="L8" s="146" t="s">
        <v>134</v>
      </c>
      <c r="M8" s="148" t="s">
        <v>128</v>
      </c>
      <c r="N8" s="141">
        <v>5358</v>
      </c>
      <c r="O8" s="141">
        <v>0</v>
      </c>
      <c r="P8" s="141">
        <v>519.99</v>
      </c>
      <c r="Q8" s="98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20"/>
      <c r="AD8" s="6"/>
      <c r="AE8" s="6"/>
      <c r="AF8" s="20"/>
    </row>
    <row r="9" spans="1:35" s="3" customFormat="1" ht="27" customHeight="1">
      <c r="A9" s="31">
        <v>3</v>
      </c>
      <c r="B9" s="10" t="str">
        <f t="shared" si="0"/>
        <v xml:space="preserve">RAMIREZ SANCHEZ JUAN MANUEL </v>
      </c>
      <c r="C9" s="71" t="str">
        <f t="shared" si="0"/>
        <v xml:space="preserve">JEFE DEL DEPARTAMENTO DE AGUA POTABLE </v>
      </c>
      <c r="D9" s="20">
        <f>H9*4.375</f>
        <v>1985.4683333333332</v>
      </c>
      <c r="E9" s="20">
        <f>I9*4.375</f>
        <v>235.46833333333333</v>
      </c>
      <c r="F9" s="20">
        <f t="shared" si="1"/>
        <v>1750</v>
      </c>
      <c r="G9" s="24"/>
      <c r="H9" s="84">
        <f t="shared" si="2"/>
        <v>453.82133333333331</v>
      </c>
      <c r="I9" s="84">
        <f t="shared" si="3"/>
        <v>53.821333333333335</v>
      </c>
      <c r="J9" s="86">
        <f t="shared" si="4"/>
        <v>400</v>
      </c>
      <c r="K9" s="149"/>
      <c r="L9" s="134" t="s">
        <v>187</v>
      </c>
      <c r="M9" s="148" t="s">
        <v>188</v>
      </c>
      <c r="N9" s="134">
        <v>6807.32</v>
      </c>
      <c r="O9" s="134">
        <v>0</v>
      </c>
      <c r="P9" s="134">
        <v>807.32</v>
      </c>
      <c r="Q9" s="95"/>
      <c r="R9" s="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0"/>
      <c r="AG9" s="6"/>
      <c r="AH9" s="6"/>
      <c r="AI9" s="20"/>
    </row>
    <row r="10" spans="1:35" s="3" customFormat="1" ht="27" customHeight="1">
      <c r="A10" s="31">
        <v>4</v>
      </c>
      <c r="B10" s="10" t="s">
        <v>115</v>
      </c>
      <c r="C10" s="160" t="s">
        <v>116</v>
      </c>
      <c r="D10" s="4">
        <f>H10</f>
        <v>299.04000000000002</v>
      </c>
      <c r="E10" s="4">
        <f>I10</f>
        <v>24.922613333333342</v>
      </c>
      <c r="F10" s="2">
        <f t="shared" si="1"/>
        <v>274.11738666666668</v>
      </c>
      <c r="G10" s="24"/>
      <c r="H10" s="84">
        <f t="shared" ref="H10:I10" si="5">+O10/30</f>
        <v>299.04000000000002</v>
      </c>
      <c r="I10" s="91">
        <f t="shared" si="5"/>
        <v>24.922613333333342</v>
      </c>
      <c r="J10" s="86">
        <f t="shared" ref="J10" si="6">SUM(H10-I10)</f>
        <v>274.11738666666668</v>
      </c>
      <c r="K10" s="142"/>
      <c r="L10" s="98" t="s">
        <v>115</v>
      </c>
      <c r="M10" s="143"/>
      <c r="N10" s="144" t="s">
        <v>116</v>
      </c>
      <c r="O10" s="97">
        <v>8971.2000000000007</v>
      </c>
      <c r="P10" s="97">
        <v>747.67840000000024</v>
      </c>
      <c r="Q10" s="95"/>
      <c r="R10" s="2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0"/>
      <c r="AG10" s="6"/>
      <c r="AH10" s="6"/>
      <c r="AI10" s="20"/>
    </row>
    <row r="11" spans="1:35" s="3" customFormat="1" ht="27" customHeight="1">
      <c r="A11" s="31">
        <v>5</v>
      </c>
      <c r="B11" s="10" t="s">
        <v>84</v>
      </c>
      <c r="C11" s="161" t="s">
        <v>61</v>
      </c>
      <c r="D11" s="20">
        <f>H11*5.621</f>
        <v>1657.6966046666669</v>
      </c>
      <c r="E11" s="20">
        <f>+I11*5.62+0.15</f>
        <v>157.70107999999999</v>
      </c>
      <c r="F11" s="20">
        <f t="shared" si="1"/>
        <v>1499.9955246666668</v>
      </c>
      <c r="G11" s="24" t="s">
        <v>18</v>
      </c>
      <c r="H11" s="84">
        <f>4423.67/15</f>
        <v>294.91133333333335</v>
      </c>
      <c r="I11" s="91">
        <f>420.51/15</f>
        <v>28.033999999999999</v>
      </c>
      <c r="J11" s="86">
        <f t="shared" ref="J11" si="7">SUM(H11-I11)</f>
        <v>266.87733333333335</v>
      </c>
      <c r="K11" s="96"/>
      <c r="L11" s="98"/>
      <c r="M11" s="95"/>
      <c r="N11" s="117"/>
      <c r="O11" s="131"/>
      <c r="P11" s="131"/>
      <c r="Q11" s="95"/>
      <c r="R11" s="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0"/>
      <c r="AG11" s="6"/>
      <c r="AH11" s="6"/>
      <c r="AI11" s="20"/>
    </row>
    <row r="12" spans="1:35" s="3" customFormat="1" ht="27" customHeight="1">
      <c r="A12" s="31">
        <v>6</v>
      </c>
      <c r="B12" s="10" t="str">
        <f t="shared" si="0"/>
        <v xml:space="preserve">MARTINEZ GONZALEZ HECTOR MIGUEL </v>
      </c>
      <c r="C12" s="71" t="str">
        <f t="shared" si="0"/>
        <v>CHOFER DE CAMION ESCOLAR</v>
      </c>
      <c r="D12" s="20">
        <f>H12*3.024</f>
        <v>1110.2051520000002</v>
      </c>
      <c r="E12" s="20">
        <f>I12*3.024-0.01</f>
        <v>110.20270400000001</v>
      </c>
      <c r="F12" s="20">
        <f t="shared" si="1"/>
        <v>1000.0024480000002</v>
      </c>
      <c r="G12" s="7"/>
      <c r="H12" s="84">
        <f t="shared" si="2"/>
        <v>367.13133333333337</v>
      </c>
      <c r="I12" s="84">
        <f t="shared" si="3"/>
        <v>36.446000000000005</v>
      </c>
      <c r="J12" s="157">
        <f t="shared" si="4"/>
        <v>330.68533333333335</v>
      </c>
      <c r="K12" s="142"/>
      <c r="L12" s="146" t="s">
        <v>141</v>
      </c>
      <c r="M12" s="159" t="s">
        <v>128</v>
      </c>
      <c r="N12" s="141">
        <v>5506.97</v>
      </c>
      <c r="O12" s="141">
        <v>0</v>
      </c>
      <c r="P12" s="141">
        <v>546.69000000000005</v>
      </c>
      <c r="Q12" s="95"/>
      <c r="R12" s="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0"/>
      <c r="AG12" s="6"/>
      <c r="AH12" s="6"/>
      <c r="AI12" s="20"/>
    </row>
    <row r="13" spans="1:35" s="3" customFormat="1" ht="27" customHeight="1">
      <c r="A13" s="31"/>
      <c r="B13" s="10"/>
      <c r="C13" s="71"/>
      <c r="D13" s="20"/>
      <c r="E13" s="20"/>
      <c r="F13" s="20"/>
      <c r="G13" s="7"/>
      <c r="H13" s="84"/>
      <c r="I13" s="84"/>
      <c r="J13" s="157"/>
      <c r="K13" s="142"/>
      <c r="L13" s="146"/>
      <c r="M13" s="148"/>
      <c r="N13" s="134"/>
      <c r="O13" s="134"/>
      <c r="P13" s="97"/>
      <c r="Q13" s="95"/>
      <c r="R13" s="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0"/>
      <c r="AG13" s="6"/>
      <c r="AH13" s="6"/>
      <c r="AI13" s="20"/>
    </row>
    <row r="14" spans="1:35" s="3" customFormat="1" ht="27" customHeight="1">
      <c r="A14" s="31"/>
      <c r="B14" s="10"/>
      <c r="C14" s="71"/>
      <c r="D14" s="20"/>
      <c r="E14" s="20"/>
      <c r="F14" s="20"/>
      <c r="G14" s="7"/>
      <c r="H14" s="84"/>
      <c r="I14" s="84"/>
      <c r="J14" s="157"/>
      <c r="K14" s="142"/>
      <c r="L14" s="146"/>
      <c r="M14" s="148"/>
      <c r="N14" s="141"/>
      <c r="O14" s="141"/>
      <c r="P14" s="141"/>
      <c r="Q14" s="95"/>
      <c r="R14" s="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0"/>
      <c r="AG14" s="6"/>
      <c r="AH14" s="6"/>
      <c r="AI14" s="20"/>
    </row>
    <row r="15" spans="1:35" ht="27" customHeight="1">
      <c r="A15" s="31"/>
      <c r="C15" s="71"/>
      <c r="D15" s="66"/>
      <c r="E15" s="20"/>
      <c r="F15" s="20"/>
      <c r="G15" s="24"/>
      <c r="J15" s="86"/>
      <c r="L15" s="134"/>
      <c r="M15" s="134"/>
      <c r="N15" s="135"/>
      <c r="O15" s="138"/>
      <c r="P15" s="138"/>
      <c r="R15" s="2"/>
      <c r="S15" s="3"/>
      <c r="AC15" s="20"/>
      <c r="AE15" s="6"/>
      <c r="AF15" s="20"/>
      <c r="AH15" s="6"/>
    </row>
    <row r="16" spans="1:35" s="3" customFormat="1" ht="27" customHeight="1">
      <c r="A16" s="31"/>
      <c r="B16" s="10"/>
      <c r="C16" s="71"/>
      <c r="D16" s="20"/>
      <c r="E16" s="20"/>
      <c r="F16" s="20"/>
      <c r="G16" s="7"/>
      <c r="H16" s="84"/>
      <c r="I16" s="91"/>
      <c r="J16" s="157"/>
      <c r="K16" s="134"/>
      <c r="L16" s="134"/>
      <c r="M16" s="134"/>
      <c r="N16" s="97"/>
      <c r="O16" s="95"/>
      <c r="P16" s="95"/>
      <c r="Q16" s="98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20"/>
      <c r="AD16" s="6"/>
      <c r="AE16" s="6"/>
      <c r="AF16" s="20"/>
    </row>
    <row r="17" spans="1:35" s="3" customFormat="1" ht="27" customHeight="1">
      <c r="A17" s="31"/>
      <c r="B17" s="10"/>
      <c r="C17" s="162" t="s">
        <v>165</v>
      </c>
      <c r="D17" s="63">
        <f>SUM(D7:D16)</f>
        <v>8358.0856899999999</v>
      </c>
      <c r="E17" s="63">
        <f>SUM(E7:E16)</f>
        <v>833.96632999999997</v>
      </c>
      <c r="F17" s="63">
        <f>SUM(F7:F16)</f>
        <v>7524.1193599999997</v>
      </c>
      <c r="G17" s="7"/>
      <c r="H17" s="84"/>
      <c r="I17" s="84"/>
      <c r="J17" s="157"/>
      <c r="K17" s="134"/>
      <c r="L17" s="134"/>
      <c r="M17" s="134"/>
      <c r="N17" s="97"/>
      <c r="O17" s="95"/>
      <c r="P17" s="95"/>
      <c r="Q17" s="98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20"/>
      <c r="AD17" s="6"/>
      <c r="AE17" s="6"/>
      <c r="AF17" s="20"/>
    </row>
    <row r="18" spans="1:35" s="3" customFormat="1" ht="27" customHeight="1">
      <c r="A18" s="31"/>
      <c r="B18" s="10" t="s">
        <v>260</v>
      </c>
      <c r="C18" s="71"/>
      <c r="D18" s="20"/>
      <c r="E18" s="20"/>
      <c r="F18" s="20"/>
      <c r="G18" s="7"/>
      <c r="H18" s="84"/>
      <c r="I18" s="84"/>
      <c r="J18" s="157"/>
      <c r="K18" s="134"/>
      <c r="L18" s="134"/>
      <c r="M18" s="134"/>
      <c r="N18" s="134"/>
      <c r="O18" s="95"/>
      <c r="P18" s="95"/>
      <c r="Q18" s="98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20"/>
      <c r="AD18" s="6"/>
      <c r="AE18" s="6"/>
      <c r="AF18" s="20"/>
    </row>
    <row r="19" spans="1:35" s="3" customFormat="1" ht="27" customHeight="1">
      <c r="A19" s="31"/>
      <c r="B19" s="10" t="s">
        <v>261</v>
      </c>
      <c r="C19" s="71"/>
      <c r="D19" s="20"/>
      <c r="E19" s="20"/>
      <c r="F19" s="20"/>
      <c r="G19" s="7"/>
      <c r="H19" s="84"/>
      <c r="I19" s="84"/>
      <c r="J19" s="157"/>
      <c r="K19" s="134"/>
      <c r="L19" s="134"/>
      <c r="M19" s="134"/>
      <c r="N19" s="134"/>
      <c r="O19" s="95"/>
      <c r="P19" s="95"/>
      <c r="Q19" s="98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20"/>
      <c r="AD19" s="6"/>
      <c r="AE19" s="6"/>
      <c r="AF19" s="20"/>
    </row>
    <row r="20" spans="1:35" s="3" customFormat="1" ht="27" customHeight="1">
      <c r="A20" s="31"/>
      <c r="B20" s="10"/>
      <c r="C20" s="71"/>
      <c r="D20" s="20"/>
      <c r="E20" s="20"/>
      <c r="F20" s="20"/>
      <c r="G20" s="7"/>
      <c r="H20" s="84"/>
      <c r="I20" s="84"/>
      <c r="J20" s="157"/>
      <c r="K20" s="134"/>
      <c r="L20" s="134"/>
      <c r="M20" s="134"/>
      <c r="N20" s="134"/>
      <c r="O20" s="95"/>
      <c r="P20" s="95"/>
      <c r="Q20" s="98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20"/>
      <c r="AD20" s="6"/>
      <c r="AE20" s="6"/>
      <c r="AF20" s="20"/>
    </row>
    <row r="21" spans="1:35" s="3" customFormat="1" ht="27" customHeight="1">
      <c r="A21" s="31"/>
      <c r="B21" s="10"/>
      <c r="C21" s="71"/>
      <c r="D21" s="20"/>
      <c r="E21" s="20"/>
      <c r="F21" s="20"/>
      <c r="G21" s="7"/>
      <c r="H21" s="84"/>
      <c r="I21" s="84"/>
      <c r="J21" s="157"/>
      <c r="K21" s="134"/>
      <c r="L21" s="134"/>
      <c r="M21" s="134"/>
      <c r="N21" s="134"/>
      <c r="O21" s="95"/>
      <c r="P21" s="95"/>
      <c r="Q21" s="98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20"/>
      <c r="AD21" s="6"/>
      <c r="AE21" s="6"/>
      <c r="AF21" s="20"/>
    </row>
    <row r="22" spans="1:35" s="3" customFormat="1" ht="27" customHeight="1">
      <c r="A22" s="31"/>
      <c r="B22" s="10"/>
      <c r="C22" s="71"/>
      <c r="D22" s="20"/>
      <c r="E22" s="20"/>
      <c r="F22" s="20"/>
      <c r="G22" s="7"/>
      <c r="H22" s="84"/>
      <c r="I22" s="84"/>
      <c r="J22" s="157"/>
      <c r="K22" s="134"/>
      <c r="L22" s="134"/>
      <c r="M22" s="134"/>
      <c r="N22" s="134"/>
      <c r="O22" s="95"/>
      <c r="P22" s="95"/>
      <c r="Q22" s="98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20"/>
      <c r="AD22" s="6"/>
      <c r="AE22" s="6"/>
      <c r="AF22" s="20"/>
    </row>
    <row r="23" spans="1:35" s="3" customFormat="1" ht="27" customHeight="1">
      <c r="A23" s="31"/>
      <c r="B23" s="10"/>
      <c r="C23" s="71"/>
      <c r="D23" s="20"/>
      <c r="E23" s="20"/>
      <c r="F23" s="20"/>
      <c r="G23" s="7"/>
      <c r="H23" s="84"/>
      <c r="I23" s="84"/>
      <c r="J23" s="157"/>
      <c r="K23" s="134"/>
      <c r="L23" s="134"/>
      <c r="M23" s="134"/>
      <c r="N23" s="134"/>
      <c r="O23" s="95"/>
      <c r="P23" s="95"/>
      <c r="Q23" s="98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20"/>
      <c r="AD23" s="6"/>
      <c r="AE23" s="6"/>
      <c r="AF23" s="20"/>
    </row>
    <row r="24" spans="1:35" s="3" customFormat="1" ht="27" customHeight="1">
      <c r="A24" s="31"/>
      <c r="B24" s="10"/>
      <c r="C24" s="71"/>
      <c r="D24" s="20"/>
      <c r="E24" s="20"/>
      <c r="F24" s="20"/>
      <c r="G24" s="7"/>
      <c r="H24" s="84"/>
      <c r="I24" s="84"/>
      <c r="J24" s="157"/>
      <c r="K24" s="134"/>
      <c r="L24" s="134"/>
      <c r="M24" s="134"/>
      <c r="N24" s="134"/>
      <c r="O24" s="95"/>
      <c r="P24" s="95"/>
      <c r="Q24" s="98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20"/>
      <c r="AD24" s="6"/>
      <c r="AE24" s="6"/>
      <c r="AF24" s="20"/>
    </row>
    <row r="25" spans="1:35" s="3" customFormat="1" ht="27" customHeight="1">
      <c r="A25" s="241" t="s">
        <v>24</v>
      </c>
      <c r="B25" s="242"/>
      <c r="C25" s="242"/>
      <c r="D25" s="242"/>
      <c r="E25" s="242"/>
      <c r="F25" s="242"/>
      <c r="G25" s="243"/>
      <c r="H25" s="84"/>
      <c r="I25" s="84"/>
      <c r="J25" s="157"/>
      <c r="K25" s="134"/>
      <c r="L25" s="134"/>
      <c r="M25" s="134"/>
      <c r="N25" s="134"/>
      <c r="O25" s="95"/>
      <c r="P25" s="95"/>
      <c r="Q25" s="98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20"/>
      <c r="AD25" s="6"/>
      <c r="AE25" s="6"/>
      <c r="AF25" s="20"/>
    </row>
    <row r="26" spans="1:35" s="3" customFormat="1" ht="27" customHeight="1">
      <c r="A26" s="241" t="s">
        <v>244</v>
      </c>
      <c r="B26" s="242"/>
      <c r="C26" s="242"/>
      <c r="D26" s="242"/>
      <c r="E26" s="242"/>
      <c r="F26" s="242"/>
      <c r="G26" s="243"/>
      <c r="H26" s="84"/>
      <c r="I26" s="84"/>
      <c r="J26" s="157"/>
      <c r="K26" s="134"/>
      <c r="L26" s="134"/>
      <c r="M26" s="134"/>
      <c r="N26" s="134"/>
      <c r="O26" s="95"/>
      <c r="P26" s="95"/>
      <c r="Q26" s="98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20"/>
      <c r="AD26" s="6"/>
      <c r="AE26" s="6"/>
      <c r="AF26" s="20"/>
    </row>
    <row r="27" spans="1:35" s="3" customFormat="1" ht="27" customHeight="1">
      <c r="A27" s="241" t="str">
        <f>+A3</f>
        <v xml:space="preserve">AYUNTAMIENTO Y QUE  CORRESPONDEN A LA 2DA QUINCENA DE AGOSTO DE 2019 </v>
      </c>
      <c r="B27" s="242"/>
      <c r="C27" s="242"/>
      <c r="D27" s="242"/>
      <c r="E27" s="242"/>
      <c r="F27" s="242"/>
      <c r="G27" s="243"/>
      <c r="H27" s="84"/>
      <c r="I27" s="84"/>
      <c r="J27" s="157"/>
      <c r="K27" s="134"/>
      <c r="L27" s="134"/>
      <c r="M27" s="134"/>
      <c r="N27" s="134"/>
      <c r="O27" s="95"/>
      <c r="P27" s="95"/>
      <c r="Q27" s="98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20"/>
      <c r="AD27" s="6"/>
      <c r="AE27" s="6"/>
      <c r="AF27" s="20"/>
    </row>
    <row r="28" spans="1:35" s="3" customFormat="1" ht="27" customHeight="1">
      <c r="A28" s="241" t="s">
        <v>27</v>
      </c>
      <c r="B28" s="242"/>
      <c r="C28" s="242"/>
      <c r="D28" s="242"/>
      <c r="E28" s="242"/>
      <c r="F28" s="242"/>
      <c r="G28" s="243"/>
      <c r="H28" s="84"/>
      <c r="I28" s="84"/>
      <c r="J28" s="157"/>
      <c r="K28" s="134"/>
      <c r="L28" s="134"/>
      <c r="M28" s="134"/>
      <c r="N28" s="134"/>
      <c r="O28" s="95"/>
      <c r="P28" s="95"/>
      <c r="Q28" s="98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20"/>
      <c r="AD28" s="6"/>
      <c r="AE28" s="6"/>
      <c r="AF28" s="20"/>
    </row>
    <row r="29" spans="1:35" s="3" customFormat="1" ht="27" customHeight="1">
      <c r="A29" s="31"/>
      <c r="B29" s="10"/>
      <c r="C29" s="60"/>
      <c r="D29" s="20"/>
      <c r="E29" s="20"/>
      <c r="F29" s="20"/>
      <c r="G29" s="7"/>
      <c r="H29" s="84"/>
      <c r="I29" s="84"/>
      <c r="J29" s="157"/>
      <c r="K29" s="134"/>
      <c r="L29" s="134"/>
      <c r="M29" s="134"/>
      <c r="N29" s="134"/>
      <c r="O29" s="95"/>
      <c r="P29" s="95"/>
      <c r="Q29" s="98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20"/>
      <c r="AD29" s="6"/>
      <c r="AE29" s="6"/>
      <c r="AF29" s="20"/>
    </row>
    <row r="30" spans="1:35" s="3" customFormat="1" ht="27" customHeight="1">
      <c r="A30" s="31">
        <v>1</v>
      </c>
      <c r="B30" s="10" t="s">
        <v>145</v>
      </c>
      <c r="C30" s="71" t="s">
        <v>146</v>
      </c>
      <c r="D30" s="20">
        <f>+H30</f>
        <v>580.98266666666666</v>
      </c>
      <c r="E30" s="20">
        <f>+I30</f>
        <v>80.982666666666674</v>
      </c>
      <c r="F30" s="20">
        <f>+D30-E30</f>
        <v>500</v>
      </c>
      <c r="G30" s="24"/>
      <c r="H30" s="84">
        <v>580.98266666666666</v>
      </c>
      <c r="I30" s="84">
        <v>80.982666666666674</v>
      </c>
      <c r="J30" s="86">
        <f>+H30-I30</f>
        <v>500</v>
      </c>
      <c r="K30" s="134"/>
      <c r="L30" s="134" t="s">
        <v>145</v>
      </c>
      <c r="M30" s="134" t="s">
        <v>146</v>
      </c>
      <c r="N30" s="134">
        <v>8714.74</v>
      </c>
      <c r="O30" s="97">
        <v>1214.74</v>
      </c>
      <c r="P30" s="97">
        <v>1214.74</v>
      </c>
      <c r="Q30" s="95"/>
      <c r="R30" s="2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20"/>
      <c r="AG30" s="6"/>
      <c r="AH30" s="6"/>
      <c r="AI30" s="20"/>
    </row>
    <row r="31" spans="1:35" s="3" customFormat="1" ht="27" customHeight="1">
      <c r="A31" s="31">
        <v>2</v>
      </c>
      <c r="B31" s="10" t="s">
        <v>148</v>
      </c>
      <c r="C31" s="71" t="s">
        <v>146</v>
      </c>
      <c r="D31" s="20">
        <f>+H31*15</f>
        <v>8714.74</v>
      </c>
      <c r="E31" s="20">
        <f>+I31*15</f>
        <v>1214.74</v>
      </c>
      <c r="F31" s="20">
        <f>+D31-E31</f>
        <v>7500</v>
      </c>
      <c r="G31" s="24"/>
      <c r="H31" s="84">
        <v>580.98266666666666</v>
      </c>
      <c r="I31" s="84">
        <v>80.982666666666674</v>
      </c>
      <c r="J31" s="86">
        <f>+H31-I31</f>
        <v>500</v>
      </c>
      <c r="K31" s="134"/>
      <c r="L31" s="134" t="s">
        <v>148</v>
      </c>
      <c r="M31" s="134" t="s">
        <v>146</v>
      </c>
      <c r="N31" s="134">
        <v>8714.74</v>
      </c>
      <c r="O31" s="97">
        <v>1214.74</v>
      </c>
      <c r="P31" s="97">
        <v>1214.74</v>
      </c>
      <c r="Q31" s="95"/>
      <c r="R31" s="2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20"/>
      <c r="AG31" s="6"/>
      <c r="AH31" s="6"/>
      <c r="AI31" s="20"/>
    </row>
    <row r="32" spans="1:35" s="3" customFormat="1" ht="27" customHeight="1">
      <c r="A32" s="31"/>
      <c r="B32" s="10"/>
      <c r="C32" s="60"/>
      <c r="D32" s="20"/>
      <c r="E32" s="20"/>
      <c r="F32" s="20"/>
      <c r="G32" s="7"/>
      <c r="H32" s="84"/>
      <c r="I32" s="84"/>
      <c r="J32" s="157"/>
      <c r="K32" s="134"/>
      <c r="L32" s="134"/>
      <c r="M32" s="134"/>
      <c r="N32" s="97"/>
      <c r="O32" s="95"/>
      <c r="P32" s="95"/>
      <c r="Q32" s="98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20"/>
      <c r="AD32" s="6"/>
      <c r="AE32" s="6"/>
      <c r="AF32" s="20"/>
    </row>
    <row r="33" spans="1:34" s="3" customFormat="1" ht="27" customHeight="1">
      <c r="A33" s="31"/>
      <c r="B33" s="10"/>
      <c r="C33" s="162" t="s">
        <v>165</v>
      </c>
      <c r="D33" s="63">
        <f>SUM(D29:D32)</f>
        <v>9295.7226666666666</v>
      </c>
      <c r="E33" s="63">
        <f t="shared" ref="E33:F33" si="8">SUM(E29:E32)</f>
        <v>1295.7226666666668</v>
      </c>
      <c r="F33" s="63">
        <f t="shared" si="8"/>
        <v>8000</v>
      </c>
      <c r="G33" s="7"/>
      <c r="H33" s="84"/>
      <c r="I33" s="84"/>
      <c r="J33" s="157"/>
      <c r="K33" s="134"/>
      <c r="L33" s="134"/>
      <c r="M33" s="134"/>
      <c r="N33" s="97"/>
      <c r="O33" s="95"/>
      <c r="P33" s="95"/>
      <c r="Q33" s="98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20"/>
      <c r="AD33" s="6"/>
      <c r="AE33" s="6"/>
      <c r="AF33" s="20"/>
    </row>
    <row r="34" spans="1:34" s="3" customFormat="1" ht="27" customHeight="1">
      <c r="A34" s="31"/>
      <c r="B34" s="10"/>
      <c r="C34" s="71"/>
      <c r="D34" s="20"/>
      <c r="E34" s="20"/>
      <c r="F34" s="20"/>
      <c r="G34" s="7"/>
      <c r="H34" s="84"/>
      <c r="I34" s="84"/>
      <c r="J34" s="157"/>
      <c r="K34" s="134"/>
      <c r="L34" s="134"/>
      <c r="M34" s="134"/>
      <c r="N34" s="97"/>
      <c r="O34" s="95"/>
      <c r="P34" s="95"/>
      <c r="Q34" s="98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20"/>
      <c r="AD34" s="6"/>
      <c r="AE34" s="6"/>
      <c r="AF34" s="20"/>
    </row>
    <row r="35" spans="1:34" s="3" customFormat="1" ht="27" customHeight="1">
      <c r="A35" s="31"/>
      <c r="B35" s="10" t="s">
        <v>262</v>
      </c>
      <c r="C35" s="71"/>
      <c r="D35" s="20"/>
      <c r="E35" s="20"/>
      <c r="F35" s="20"/>
      <c r="G35" s="7"/>
      <c r="H35" s="84"/>
      <c r="I35" s="84"/>
      <c r="J35" s="157"/>
      <c r="K35" s="134"/>
      <c r="L35" s="134"/>
      <c r="M35" s="134"/>
      <c r="N35" s="134"/>
      <c r="O35" s="95"/>
      <c r="P35" s="97"/>
      <c r="Q35" s="98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20"/>
      <c r="AE35" s="6"/>
      <c r="AF35" s="6"/>
      <c r="AG35" s="20"/>
    </row>
    <row r="36" spans="1:34" s="3" customFormat="1" ht="27" customHeight="1">
      <c r="A36" s="31"/>
      <c r="B36" s="10" t="str">
        <f>+B19</f>
        <v>IXTLAHUACAN DEL RIO JALISCO A 31 DE AGOSTO DE 2019</v>
      </c>
      <c r="C36" s="71"/>
      <c r="D36" s="20"/>
      <c r="E36" s="20"/>
      <c r="F36" s="20"/>
      <c r="G36" s="7"/>
      <c r="H36" s="84"/>
      <c r="I36" s="84"/>
      <c r="J36" s="157"/>
      <c r="K36" s="134"/>
      <c r="L36" s="134"/>
      <c r="M36" s="134"/>
      <c r="N36" s="134"/>
      <c r="O36" s="95"/>
      <c r="P36" s="97"/>
      <c r="Q36" s="98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20"/>
      <c r="AE36" s="6"/>
      <c r="AF36" s="6"/>
      <c r="AG36" s="20"/>
    </row>
    <row r="37" spans="1:34" s="3" customFormat="1" ht="27" customHeight="1">
      <c r="A37" s="31"/>
      <c r="B37" s="10"/>
      <c r="C37" s="71"/>
      <c r="D37" s="20"/>
      <c r="E37" s="20"/>
      <c r="F37" s="20"/>
      <c r="G37" s="7"/>
      <c r="H37" s="84"/>
      <c r="I37" s="84"/>
      <c r="J37" s="157"/>
      <c r="K37" s="134"/>
      <c r="L37" s="134"/>
      <c r="M37" s="134"/>
      <c r="N37" s="134"/>
      <c r="O37" s="95"/>
      <c r="P37" s="97"/>
      <c r="Q37" s="98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20"/>
      <c r="AE37" s="6"/>
      <c r="AF37" s="6"/>
      <c r="AG37" s="20"/>
    </row>
    <row r="38" spans="1:34" s="3" customFormat="1" ht="27" customHeight="1">
      <c r="A38" s="31"/>
      <c r="B38" s="10"/>
      <c r="C38" s="71"/>
      <c r="D38" s="20"/>
      <c r="E38" s="20"/>
      <c r="F38" s="20"/>
      <c r="G38" s="7"/>
      <c r="H38" s="84"/>
      <c r="I38" s="84"/>
      <c r="J38" s="157"/>
      <c r="K38" s="134"/>
      <c r="L38" s="134"/>
      <c r="M38" s="134"/>
      <c r="N38" s="134"/>
      <c r="O38" s="95"/>
      <c r="P38" s="97"/>
      <c r="Q38" s="98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20"/>
      <c r="AE38" s="6"/>
      <c r="AF38" s="6"/>
      <c r="AG38" s="20"/>
    </row>
    <row r="39" spans="1:34" s="3" customFormat="1" ht="27" customHeight="1">
      <c r="A39" s="31"/>
      <c r="B39" s="10"/>
      <c r="C39" s="71"/>
      <c r="D39" s="20"/>
      <c r="E39" s="20"/>
      <c r="F39" s="20"/>
      <c r="G39" s="7"/>
      <c r="H39" s="84"/>
      <c r="I39" s="84"/>
      <c r="J39" s="157"/>
      <c r="K39" s="134"/>
      <c r="L39" s="134"/>
      <c r="M39" s="134"/>
      <c r="N39" s="134"/>
      <c r="O39" s="97"/>
      <c r="P39" s="134"/>
      <c r="Q39" s="9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20"/>
      <c r="AF39" s="6"/>
      <c r="AG39" s="6"/>
      <c r="AH39" s="20"/>
    </row>
    <row r="40" spans="1:34" s="3" customFormat="1" ht="27" customHeight="1">
      <c r="A40" s="9"/>
      <c r="B40" s="10"/>
      <c r="C40" s="163"/>
      <c r="D40" s="4"/>
      <c r="E40" s="4"/>
      <c r="F40" s="4"/>
      <c r="G40" s="7"/>
      <c r="H40" s="84"/>
      <c r="I40" s="91"/>
      <c r="J40" s="157"/>
      <c r="K40" s="87"/>
      <c r="L40" s="110"/>
      <c r="M40" s="118"/>
      <c r="N40" s="118"/>
      <c r="O40" s="131"/>
      <c r="P40" s="118"/>
      <c r="Q40" s="95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20"/>
      <c r="AF40" s="6"/>
      <c r="AG40" s="6"/>
      <c r="AH40" s="20"/>
    </row>
    <row r="41" spans="1:34" s="3" customFormat="1" ht="27" customHeight="1">
      <c r="A41" s="9"/>
      <c r="B41" s="10"/>
      <c r="C41" s="163"/>
      <c r="D41" s="32"/>
      <c r="E41" s="32"/>
      <c r="F41" s="32"/>
      <c r="G41" s="7"/>
      <c r="H41" s="84"/>
      <c r="I41" s="91"/>
      <c r="J41" s="157"/>
      <c r="K41" s="87"/>
      <c r="L41" s="110"/>
      <c r="M41" s="118"/>
      <c r="N41" s="118"/>
      <c r="O41" s="131"/>
      <c r="P41" s="118"/>
      <c r="Q41" s="95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20"/>
      <c r="AF41" s="6"/>
      <c r="AG41" s="6"/>
      <c r="AH41" s="20"/>
    </row>
    <row r="42" spans="1:34" s="3" customFormat="1" ht="27" customHeight="1">
      <c r="A42" s="9"/>
      <c r="C42" s="99"/>
      <c r="D42" s="4"/>
      <c r="E42" s="4"/>
      <c r="F42" s="4"/>
      <c r="G42" s="7" t="s">
        <v>18</v>
      </c>
      <c r="H42" s="84"/>
      <c r="I42" s="91"/>
      <c r="J42" s="157">
        <f>SUM(H42-I42)</f>
        <v>0</v>
      </c>
      <c r="K42" s="87"/>
      <c r="L42" s="110"/>
      <c r="M42" s="118"/>
      <c r="N42" s="120"/>
      <c r="O42" s="131"/>
      <c r="P42" s="131"/>
      <c r="Q42" s="95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20"/>
      <c r="AF42" s="6"/>
      <c r="AG42" s="6"/>
      <c r="AH42" s="20"/>
    </row>
    <row r="43" spans="1:34" s="3" customFormat="1" ht="27" customHeight="1">
      <c r="A43" s="9"/>
      <c r="C43" s="163"/>
      <c r="D43" s="4"/>
      <c r="E43" s="4"/>
      <c r="F43" s="4"/>
      <c r="G43" s="7" t="s">
        <v>18</v>
      </c>
      <c r="H43" s="84"/>
      <c r="I43" s="91"/>
      <c r="J43" s="157">
        <f>SUM(H43-I43)</f>
        <v>0</v>
      </c>
      <c r="K43" s="87"/>
      <c r="L43" s="109"/>
      <c r="M43" s="95"/>
      <c r="N43" s="117"/>
      <c r="O43" s="131"/>
      <c r="P43" s="131"/>
      <c r="Q43" s="95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20"/>
      <c r="AF43" s="6"/>
      <c r="AG43" s="6"/>
      <c r="AH43" s="20"/>
    </row>
    <row r="44" spans="1:34" s="3" customFormat="1" ht="27" customHeight="1">
      <c r="A44" s="9"/>
      <c r="B44" s="10"/>
      <c r="C44" s="163"/>
      <c r="D44" s="28"/>
      <c r="E44" s="28"/>
      <c r="F44" s="21"/>
      <c r="G44" s="7" t="s">
        <v>18</v>
      </c>
      <c r="H44" s="91"/>
      <c r="I44" s="91"/>
      <c r="J44" s="157"/>
      <c r="K44" s="98"/>
      <c r="L44" s="98"/>
      <c r="M44" s="95"/>
      <c r="N44" s="117"/>
      <c r="O44" s="131"/>
      <c r="P44" s="131"/>
      <c r="Q44" s="95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20"/>
      <c r="AF44" s="6"/>
      <c r="AG44" s="6"/>
      <c r="AH44" s="20"/>
    </row>
    <row r="52" spans="3:6" ht="27" customHeight="1">
      <c r="D52" s="20"/>
      <c r="E52" s="20"/>
      <c r="F52" s="20"/>
    </row>
    <row r="53" spans="3:6" ht="27" customHeight="1">
      <c r="D53" s="20"/>
      <c r="E53" s="20"/>
      <c r="F53" s="20"/>
    </row>
    <row r="54" spans="3:6" ht="27" customHeight="1">
      <c r="D54" s="20"/>
      <c r="E54" s="20"/>
      <c r="F54" s="20"/>
    </row>
    <row r="55" spans="3:6" ht="27" customHeight="1">
      <c r="D55" s="20"/>
      <c r="E55" s="20"/>
      <c r="F55" s="20"/>
    </row>
    <row r="56" spans="3:6" ht="27" customHeight="1">
      <c r="C56" s="164"/>
      <c r="D56" s="63"/>
      <c r="E56" s="63"/>
      <c r="F56" s="63"/>
    </row>
  </sheetData>
  <mergeCells count="8">
    <mergeCell ref="A27:G27"/>
    <mergeCell ref="A28:G28"/>
    <mergeCell ref="A1:G1"/>
    <mergeCell ref="A2:G2"/>
    <mergeCell ref="A3:G3"/>
    <mergeCell ref="A4:G4"/>
    <mergeCell ref="A25:G25"/>
    <mergeCell ref="A26:G26"/>
  </mergeCells>
  <pageMargins left="0.23622047244094491" right="0.23622047244094491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T EXT 2DA dic</vt:lpstr>
      <vt:lpstr>T EXT 1ra dic</vt:lpstr>
      <vt:lpstr>T EXT 2daNOV</vt:lpstr>
      <vt:lpstr>T EXT 1RANOV</vt:lpstr>
      <vt:lpstr>T EXT 2DA OCT</vt:lpstr>
      <vt:lpstr>T EXT 1RA OCT</vt:lpstr>
      <vt:lpstr>t.ext 2daSEP</vt:lpstr>
      <vt:lpstr>t.ext 1RA SEP</vt:lpstr>
      <vt:lpstr>t.ext 2da ago</vt:lpstr>
      <vt:lpstr>t.ext 1RA AGO</vt:lpstr>
      <vt:lpstr>t.ext 2da JUL</vt:lpstr>
      <vt:lpstr>t.ext 1RA JUL</vt:lpstr>
      <vt:lpstr>t.ext 2DA JUN</vt:lpstr>
      <vt:lpstr>t.ext 1RA JUN</vt:lpstr>
      <vt:lpstr>t.ext 2DA MAY</vt:lpstr>
      <vt:lpstr>t.ext 1RA MAY</vt:lpstr>
      <vt:lpstr>t.ext 2DA abr</vt:lpstr>
      <vt:lpstr>t.ext 1ra abr</vt:lpstr>
      <vt:lpstr>t.ext 2DA mar</vt:lpstr>
      <vt:lpstr>t.ext 1Ra mar</vt:lpstr>
      <vt:lpstr>t.ext 2da FEB</vt:lpstr>
      <vt:lpstr>t.ext 1RA FEB</vt:lpstr>
      <vt:lpstr>t.ext 2DA ene</vt:lpstr>
      <vt:lpstr>t.ext 1ra ene</vt:lpstr>
      <vt:lpstr>'T EXT 1ra dic'!Área_de_impresión</vt:lpstr>
      <vt:lpstr>'T EXT 1RA OCT'!Área_de_impresión</vt:lpstr>
      <vt:lpstr>'T EXT 1RANOV'!Área_de_impresión</vt:lpstr>
      <vt:lpstr>'T EXT 2DA dic'!Área_de_impresión</vt:lpstr>
      <vt:lpstr>'T EXT 2DA OCT'!Área_de_impresión</vt:lpstr>
      <vt:lpstr>'T EXT 2daNOV'!Área_de_impresión</vt:lpstr>
      <vt:lpstr>'t.ext 1ra abr'!Área_de_impresión</vt:lpstr>
      <vt:lpstr>'t.ext 1RA AGO'!Área_de_impresión</vt:lpstr>
      <vt:lpstr>'t.ext 1ra ene'!Área_de_impresión</vt:lpstr>
      <vt:lpstr>'t.ext 1RA FEB'!Área_de_impresión</vt:lpstr>
      <vt:lpstr>'t.ext 1RA JUL'!Área_de_impresión</vt:lpstr>
      <vt:lpstr>'t.ext 1RA JUN'!Área_de_impresión</vt:lpstr>
      <vt:lpstr>'t.ext 1Ra mar'!Área_de_impresión</vt:lpstr>
      <vt:lpstr>'t.ext 1RA MAY'!Área_de_impresión</vt:lpstr>
      <vt:lpstr>'t.ext 1RA SEP'!Área_de_impresión</vt:lpstr>
      <vt:lpstr>'t.ext 2DA abr'!Área_de_impresión</vt:lpstr>
      <vt:lpstr>'t.ext 2da ago'!Área_de_impresión</vt:lpstr>
      <vt:lpstr>'t.ext 2DA ene'!Área_de_impresión</vt:lpstr>
      <vt:lpstr>'t.ext 2da FEB'!Área_de_impresión</vt:lpstr>
      <vt:lpstr>'t.ext 2da JUL'!Área_de_impresión</vt:lpstr>
      <vt:lpstr>'t.ext 2DA JUN'!Área_de_impresión</vt:lpstr>
      <vt:lpstr>'t.ext 2DA mar'!Área_de_impresión</vt:lpstr>
      <vt:lpstr>'t.ext 2DA MAY'!Área_de_impresión</vt:lpstr>
      <vt:lpstr>'t.ext 2daSEP'!Área_de_impresión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Microsoft</cp:lastModifiedBy>
  <cp:lastPrinted>2019-12-27T15:18:30Z</cp:lastPrinted>
  <dcterms:created xsi:type="dcterms:W3CDTF">2004-03-09T14:35:28Z</dcterms:created>
  <dcterms:modified xsi:type="dcterms:W3CDTF">2021-01-06T19:00:12Z</dcterms:modified>
</cp:coreProperties>
</file>